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aeram00\Dropbox (MIT)\Classes\2.77\PUPS\PUPS 8\"/>
    </mc:Choice>
  </mc:AlternateContent>
  <bookViews>
    <workbookView xWindow="0" yWindow="15" windowWidth="15360" windowHeight="7605" tabRatio="908" activeTab="2"/>
  </bookViews>
  <sheets>
    <sheet name="Summary" sheetId="7" r:id="rId1"/>
    <sheet name="CSs and Loads" sheetId="18" r:id="rId2"/>
    <sheet name="CS_1 X stage" sheetId="21" r:id="rId3"/>
    <sheet name="CS_2 Y column" sheetId="22" r:id="rId4"/>
    <sheet name="CS_3 Y stage" sheetId="24" r:id="rId5"/>
    <sheet name="CS_4 Vise" sheetId="35" r:id="rId6"/>
    <sheet name="CS_5 Workpiece" sheetId="26" r:id="rId7"/>
    <sheet name="CS_6" sheetId="27" r:id="rId8"/>
    <sheet name="CS_7" sheetId="28" r:id="rId9"/>
    <sheet name="CS_8" sheetId="29" r:id="rId10"/>
    <sheet name="CS_9" sheetId="30" r:id="rId11"/>
    <sheet name="CS_10" sheetId="31" r:id="rId12"/>
    <sheet name="ref bearings, servo, structure" sheetId="9" r:id="rId13"/>
    <sheet name="X section properties" sheetId="8" r:id="rId14"/>
    <sheet name="actuators" sheetId="11" r:id="rId15"/>
    <sheet name="axis 1 properties" sheetId="34" r:id="rId16"/>
    <sheet name="Right Hand CS" sheetId="20" r:id="rId17"/>
    <sheet name="HTM formulas" sheetId="2" r:id="rId18"/>
    <sheet name="Edit History" sheetId="33" r:id="rId19"/>
  </sheets>
  <definedNames>
    <definedName name="dbh" localSheetId="3">#REF!</definedName>
    <definedName name="dbv" localSheetId="3">#REF!</definedName>
    <definedName name="deflx_1" localSheetId="3">#REF!</definedName>
    <definedName name="defly_1" localSheetId="3">#REF!</definedName>
    <definedName name="deflz_1" localSheetId="3">#REF!</definedName>
    <definedName name="delbear" localSheetId="3">#REF!</definedName>
    <definedName name="delforce" localSheetId="3">#REF!</definedName>
    <definedName name="depsx_1" localSheetId="3">#REF!</definedName>
    <definedName name="depsy_1" localSheetId="3">#REF!</definedName>
    <definedName name="depsz_1" localSheetId="3">#REF!</definedName>
    <definedName name="dservo_1" localSheetId="3">#REF!</definedName>
    <definedName name="dx_epsx_1" localSheetId="3">#REF!</definedName>
    <definedName name="dx_epsy_1" localSheetId="3">#REF!</definedName>
    <definedName name="dx_epsz_1" localSheetId="3">#REF!</definedName>
    <definedName name="dxbr_1" localSheetId="3">#REF!</definedName>
    <definedName name="dxr_1" localSheetId="3">#REF!</definedName>
    <definedName name="dy_epsx_1" localSheetId="3">#REF!</definedName>
    <definedName name="dy_epsy_1" localSheetId="3">#REF!</definedName>
    <definedName name="dy_epsz_1" localSheetId="3">#REF!</definedName>
    <definedName name="dybr_1" localSheetId="3">#REF!</definedName>
    <definedName name="dyr_1" localSheetId="3">#REF!</definedName>
    <definedName name="dz_epsx_1" localSheetId="3">#REF!</definedName>
    <definedName name="dz_epsy_1" localSheetId="3">#REF!</definedName>
    <definedName name="dz_epsz_1" localSheetId="3">#REF!</definedName>
    <definedName name="dzbr_1" localSheetId="3">#REF!</definedName>
    <definedName name="dzr_1" localSheetId="3">#REF!</definedName>
    <definedName name="epsaxis" localSheetId="3">#REF!</definedName>
    <definedName name="epsx_1" localSheetId="3">#REF!</definedName>
    <definedName name="epsxg" localSheetId="3">#REF!</definedName>
    <definedName name="epsy_1" localSheetId="3">#REF!</definedName>
    <definedName name="epsyg" localSheetId="3">#REF!</definedName>
    <definedName name="epsz_1" localSheetId="3">#REF!</definedName>
    <definedName name="epszg" localSheetId="3">#REF!</definedName>
    <definedName name="exr_1" localSheetId="3">#REF!</definedName>
    <definedName name="eyr_1" localSheetId="3">#REF!</definedName>
    <definedName name="ezr_1" localSheetId="3">#REF!</definedName>
    <definedName name="Fc" localSheetId="3">#REF!</definedName>
    <definedName name="Fx_1" localSheetId="3">#REF!</definedName>
    <definedName name="Fxa_1" localSheetId="3">#REF!</definedName>
    <definedName name="Fxg_1" localSheetId="3">#REF!</definedName>
    <definedName name="Fy_1" localSheetId="3">#REF!</definedName>
    <definedName name="Fya_1" localSheetId="3">#REF!</definedName>
    <definedName name="Fyg_1" localSheetId="3">#REF!</definedName>
    <definedName name="Fz_1" localSheetId="3">#REF!</definedName>
    <definedName name="Fza_1" localSheetId="3">#REF!</definedName>
    <definedName name="Fzg_1" localSheetId="3">#REF!</definedName>
    <definedName name="Kforce" localSheetId="3">#REF!</definedName>
    <definedName name="Krotx_1" localSheetId="3">#REF!</definedName>
    <definedName name="Kroty_1" localSheetId="3">#REF!</definedName>
    <definedName name="Krotz_1" localSheetId="3">#REF!</definedName>
    <definedName name="Kservo_1" localSheetId="3">#REF!</definedName>
    <definedName name="Kx_1" localSheetId="3">#REF!</definedName>
    <definedName name="Ky_1" localSheetId="3">#REF!</definedName>
    <definedName name="Kz_1" localSheetId="3">#REF!</definedName>
    <definedName name="lgrs" localSheetId="5">'X section properties'!$D$15</definedName>
    <definedName name="lgrs">'X section properties'!$D$15</definedName>
    <definedName name="lgst" localSheetId="5">'X section properties'!$D$17</definedName>
    <definedName name="lgst">'X section properties'!$D$17</definedName>
    <definedName name="Mx_1" localSheetId="3">#REF!</definedName>
    <definedName name="Mxa_1" localSheetId="3">#REF!</definedName>
    <definedName name="Mxg_1" localSheetId="3">#REF!</definedName>
    <definedName name="My_1" localSheetId="3">#REF!</definedName>
    <definedName name="Mya_1" localSheetId="3">#REF!</definedName>
    <definedName name="Myg_1" localSheetId="3">#REF!</definedName>
    <definedName name="Mz_1" localSheetId="3">#REF!</definedName>
    <definedName name="Mza_1" localSheetId="3">#REF!</definedName>
    <definedName name="Mzg_1" localSheetId="3">#REF!</definedName>
    <definedName name="Naxes" localSheetId="5">'CSs and Loads'!$C$10</definedName>
    <definedName name="Naxes">'CSs and Loads'!$C$10</definedName>
    <definedName name="Nbear" localSheetId="3">#REF!</definedName>
    <definedName name="R_Area" localSheetId="5">'X section properties'!$D$6</definedName>
    <definedName name="R_Area">'X section properties'!$D$6</definedName>
    <definedName name="R_I">'X section properties'!$D$7</definedName>
    <definedName name="R_Ip" localSheetId="5">'X section properties'!$D$8</definedName>
    <definedName name="R_Ip">'X section properties'!$D$8</definedName>
    <definedName name="R_OD" localSheetId="5">'X section properties'!$D$4</definedName>
    <definedName name="R_OD">'X section properties'!$D$4</definedName>
    <definedName name="R_wall" localSheetId="5">'X section properties'!$D$5</definedName>
    <definedName name="R_wall">'X section properties'!$D$5</definedName>
    <definedName name="S_Area" localSheetId="5">'X section properties'!$D$12</definedName>
    <definedName name="S_Area">'X section properties'!$D$12</definedName>
    <definedName name="S_I" localSheetId="5">'X section properties'!$D$13</definedName>
    <definedName name="S_I">'X section properties'!$D$13</definedName>
    <definedName name="S_IP" localSheetId="5">'X section properties'!$D$14</definedName>
    <definedName name="S_IP">'X section properties'!$D$14</definedName>
    <definedName name="S_OD" localSheetId="5">'X section properties'!$D$10</definedName>
    <definedName name="S_OD">'X section properties'!$D$10</definedName>
    <definedName name="S_wall" localSheetId="5">'X section properties'!$D$11</definedName>
    <definedName name="S_wall">'X section properties'!$D$11</definedName>
    <definedName name="Xl_1" localSheetId="3">#REF!</definedName>
    <definedName name="Yl_1" localSheetId="3">#REF!</definedName>
    <definedName name="Zl_1" localSheetId="3">#REF!</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M9" i="7" l="1"/>
  <c r="D20" i="21"/>
  <c r="C25" i="21"/>
  <c r="B25" i="21"/>
  <c r="H21" i="18"/>
  <c r="F19" i="18"/>
  <c r="J12" i="21"/>
  <c r="J18" i="21"/>
  <c r="J5" i="21"/>
  <c r="H35" i="21"/>
  <c r="F24" i="24"/>
  <c r="F23" i="24"/>
  <c r="F22" i="24"/>
  <c r="E10" i="21"/>
  <c r="F11" i="24"/>
  <c r="L5" i="22"/>
  <c r="J7" i="22"/>
  <c r="I8" i="22"/>
  <c r="G10" i="22"/>
  <c r="L10" i="22"/>
  <c r="K9" i="22"/>
  <c r="J8" i="22"/>
  <c r="I7" i="22"/>
  <c r="H6" i="22"/>
  <c r="G5" i="22"/>
  <c r="H10" i="26"/>
  <c r="K7" i="26"/>
  <c r="L6" i="26"/>
  <c r="K9" i="26"/>
  <c r="J8" i="26"/>
  <c r="I7" i="26"/>
  <c r="I9" i="26"/>
  <c r="L10" i="26"/>
  <c r="H6" i="26"/>
  <c r="G5" i="26"/>
  <c r="M13" i="26"/>
  <c r="N13" i="26"/>
  <c r="E12" i="21"/>
  <c r="H37" i="21"/>
  <c r="H36" i="21"/>
  <c r="I37" i="21"/>
  <c r="I43" i="21"/>
  <c r="E18" i="21"/>
  <c r="H43" i="21"/>
  <c r="H39" i="21"/>
  <c r="M8" i="21"/>
  <c r="K43" i="21"/>
  <c r="J43" i="21"/>
  <c r="H41" i="21"/>
  <c r="E16" i="21"/>
  <c r="H40" i="21"/>
  <c r="K6" i="21"/>
  <c r="E23" i="21"/>
  <c r="E22" i="21"/>
  <c r="E21" i="21"/>
  <c r="E13" i="21"/>
  <c r="H45" i="21"/>
  <c r="I35" i="21"/>
  <c r="I36" i="21"/>
  <c r="I45" i="21"/>
  <c r="J35" i="21"/>
  <c r="J36" i="21"/>
  <c r="J45" i="21"/>
  <c r="K35" i="21"/>
  <c r="K36" i="21"/>
  <c r="K45" i="21"/>
  <c r="O10" i="21"/>
  <c r="I39" i="21"/>
  <c r="E11" i="21"/>
  <c r="H44" i="21"/>
  <c r="I44" i="21"/>
  <c r="J37" i="21"/>
  <c r="J44" i="21"/>
  <c r="K37" i="21"/>
  <c r="K44" i="21"/>
  <c r="N9" i="21"/>
  <c r="L7" i="21"/>
  <c r="B9" i="21"/>
  <c r="J5" i="24"/>
  <c r="B30" i="7"/>
  <c r="G160" i="18"/>
  <c r="H161" i="18"/>
  <c r="I162" i="18"/>
  <c r="J163" i="18"/>
  <c r="K164" i="18"/>
  <c r="L165" i="18"/>
  <c r="J162" i="18"/>
  <c r="L160" i="18"/>
  <c r="G10" i="26"/>
  <c r="G165" i="18"/>
  <c r="I163" i="18"/>
  <c r="I164" i="18"/>
  <c r="L161" i="18"/>
  <c r="K162" i="18"/>
  <c r="H165" i="18"/>
  <c r="F160" i="18" a="1"/>
  <c r="F163" i="18"/>
  <c r="J120" i="18"/>
  <c r="F164" i="18"/>
  <c r="J121" i="18"/>
  <c r="F165" i="18"/>
  <c r="J122" i="18"/>
  <c r="L120" i="18" a="1"/>
  <c r="L120" i="18"/>
  <c r="F123" i="18"/>
  <c r="Z114" i="18"/>
  <c r="Z115" i="18"/>
  <c r="Z116" i="18"/>
  <c r="Z121" i="18" a="1"/>
  <c r="Z122" i="18"/>
  <c r="R48" i="7"/>
  <c r="L121" i="18"/>
  <c r="F124" i="18"/>
  <c r="AA114" i="18"/>
  <c r="AA115" i="18"/>
  <c r="AA116" i="18"/>
  <c r="AA121" i="18" a="1"/>
  <c r="AA122" i="18"/>
  <c r="S48" i="7"/>
  <c r="L122" i="18"/>
  <c r="F125" i="18"/>
  <c r="AB114" i="18"/>
  <c r="AB115" i="18"/>
  <c r="AB116" i="18"/>
  <c r="AB121" i="18" a="1"/>
  <c r="AB122" i="18"/>
  <c r="T48" i="7"/>
  <c r="E48" i="7"/>
  <c r="H42" i="35"/>
  <c r="H39" i="22"/>
  <c r="H36" i="22"/>
  <c r="H37" i="22"/>
  <c r="H43" i="22"/>
  <c r="I43" i="22"/>
  <c r="J43" i="22"/>
  <c r="K43" i="22"/>
  <c r="J39" i="22"/>
  <c r="K39" i="22"/>
  <c r="B29" i="22"/>
  <c r="B25" i="22"/>
  <c r="B19" i="22"/>
  <c r="B17" i="22"/>
  <c r="B18" i="22"/>
  <c r="B16" i="22"/>
  <c r="H35" i="24"/>
  <c r="A1" i="35"/>
  <c r="B1" i="35"/>
  <c r="D6" i="35"/>
  <c r="D7" i="35"/>
  <c r="D10" i="35"/>
  <c r="D12" i="35"/>
  <c r="D13" i="35"/>
  <c r="D14" i="35"/>
  <c r="D20" i="35"/>
  <c r="J34" i="35"/>
  <c r="K34" i="35"/>
  <c r="B25" i="35"/>
  <c r="J35" i="35"/>
  <c r="K35" i="35"/>
  <c r="C26" i="35"/>
  <c r="B26" i="35"/>
  <c r="J36" i="35"/>
  <c r="K36" i="35"/>
  <c r="B27" i="35"/>
  <c r="I42" i="35"/>
  <c r="J42" i="35"/>
  <c r="K42" i="35"/>
  <c r="L42" i="35"/>
  <c r="M42" i="35"/>
  <c r="N42" i="35"/>
  <c r="O42" i="35"/>
  <c r="P42" i="35"/>
  <c r="Q42" i="35"/>
  <c r="R42" i="35"/>
  <c r="S42" i="35"/>
  <c r="B29" i="35"/>
  <c r="I29" i="35"/>
  <c r="J29" i="35"/>
  <c r="K29" i="35"/>
  <c r="L29" i="35"/>
  <c r="M29" i="35"/>
  <c r="N29" i="35"/>
  <c r="O29" i="35"/>
  <c r="P29" i="35"/>
  <c r="Q29" i="35"/>
  <c r="R29" i="35"/>
  <c r="S29" i="35"/>
  <c r="H43" i="35"/>
  <c r="I43" i="35"/>
  <c r="J43" i="35"/>
  <c r="K43" i="35"/>
  <c r="L43" i="35"/>
  <c r="M43" i="35"/>
  <c r="N43" i="35"/>
  <c r="O43" i="35"/>
  <c r="P43" i="35"/>
  <c r="Q43" i="35"/>
  <c r="R43" i="35"/>
  <c r="S43" i="35"/>
  <c r="B30" i="35"/>
  <c r="H44" i="35"/>
  <c r="I44" i="35"/>
  <c r="J44" i="35"/>
  <c r="K44" i="35"/>
  <c r="L44" i="35"/>
  <c r="M44" i="35"/>
  <c r="N44" i="35"/>
  <c r="O44" i="35"/>
  <c r="P44" i="35"/>
  <c r="Q44" i="35"/>
  <c r="R44" i="35"/>
  <c r="S44" i="35"/>
  <c r="B31" i="35"/>
  <c r="B45" i="35"/>
  <c r="B46" i="35"/>
  <c r="B47" i="35"/>
  <c r="H95" i="35"/>
  <c r="H96" i="35"/>
  <c r="H97" i="35"/>
  <c r="H50" i="35"/>
  <c r="I95" i="35"/>
  <c r="I96" i="35"/>
  <c r="I97" i="35"/>
  <c r="I50" i="35"/>
  <c r="J95" i="35"/>
  <c r="J96" i="35"/>
  <c r="J97" i="35"/>
  <c r="J50" i="35"/>
  <c r="K95" i="35"/>
  <c r="K96" i="35"/>
  <c r="K97" i="35"/>
  <c r="K50" i="35"/>
  <c r="L95" i="35"/>
  <c r="L96" i="35"/>
  <c r="L97" i="35"/>
  <c r="L50" i="35"/>
  <c r="M95" i="35"/>
  <c r="M96" i="35"/>
  <c r="M97" i="35"/>
  <c r="M50" i="35"/>
  <c r="N95" i="35"/>
  <c r="N96" i="35"/>
  <c r="N97" i="35"/>
  <c r="N50" i="35"/>
  <c r="O95" i="35"/>
  <c r="O96" i="35"/>
  <c r="O97" i="35"/>
  <c r="O50" i="35"/>
  <c r="P95" i="35"/>
  <c r="P96" i="35"/>
  <c r="P97" i="35"/>
  <c r="P50" i="35"/>
  <c r="Q95" i="35"/>
  <c r="Q96" i="35"/>
  <c r="Q97" i="35"/>
  <c r="Q50" i="35"/>
  <c r="R95" i="35"/>
  <c r="R96" i="35"/>
  <c r="R97" i="35"/>
  <c r="R50" i="35"/>
  <c r="S95" i="35"/>
  <c r="S96" i="35"/>
  <c r="S97" i="35"/>
  <c r="S50" i="35"/>
  <c r="B48" i="35"/>
  <c r="H99" i="35"/>
  <c r="H100" i="35"/>
  <c r="H101" i="35"/>
  <c r="H51" i="35"/>
  <c r="I99" i="35"/>
  <c r="I100" i="35"/>
  <c r="I101" i="35"/>
  <c r="I51" i="35"/>
  <c r="J99" i="35"/>
  <c r="J100" i="35"/>
  <c r="J101" i="35"/>
  <c r="J51" i="35"/>
  <c r="K99" i="35"/>
  <c r="K100" i="35"/>
  <c r="K101" i="35"/>
  <c r="K51" i="35"/>
  <c r="L99" i="35"/>
  <c r="L100" i="35"/>
  <c r="L101" i="35"/>
  <c r="L51" i="35"/>
  <c r="M99" i="35"/>
  <c r="M100" i="35"/>
  <c r="M101" i="35"/>
  <c r="M51" i="35"/>
  <c r="N99" i="35"/>
  <c r="N100" i="35"/>
  <c r="N101" i="35"/>
  <c r="N51" i="35"/>
  <c r="O99" i="35"/>
  <c r="O100" i="35"/>
  <c r="O101" i="35"/>
  <c r="O51" i="35"/>
  <c r="P99" i="35"/>
  <c r="P100" i="35"/>
  <c r="P101" i="35"/>
  <c r="P51" i="35"/>
  <c r="Q99" i="35"/>
  <c r="Q100" i="35"/>
  <c r="Q101" i="35"/>
  <c r="Q51" i="35"/>
  <c r="R99" i="35"/>
  <c r="R100" i="35"/>
  <c r="R101" i="35"/>
  <c r="R51" i="35"/>
  <c r="S99" i="35"/>
  <c r="S100" i="35"/>
  <c r="S101" i="35"/>
  <c r="S51" i="35"/>
  <c r="B49" i="35"/>
  <c r="H103" i="35"/>
  <c r="H104" i="35"/>
  <c r="H105" i="35"/>
  <c r="H52" i="35"/>
  <c r="I103" i="35"/>
  <c r="I104" i="35"/>
  <c r="I105" i="35"/>
  <c r="I52" i="35"/>
  <c r="J103" i="35"/>
  <c r="J104" i="35"/>
  <c r="J105" i="35"/>
  <c r="J52" i="35"/>
  <c r="K103" i="35"/>
  <c r="K104" i="35"/>
  <c r="K105" i="35"/>
  <c r="K52" i="35"/>
  <c r="L103" i="35"/>
  <c r="L104" i="35"/>
  <c r="L105" i="35"/>
  <c r="L52" i="35"/>
  <c r="M103" i="35"/>
  <c r="M104" i="35"/>
  <c r="M105" i="35"/>
  <c r="M52" i="35"/>
  <c r="N103" i="35"/>
  <c r="N104" i="35"/>
  <c r="N105" i="35"/>
  <c r="N52" i="35"/>
  <c r="O103" i="35"/>
  <c r="O104" i="35"/>
  <c r="O105" i="35"/>
  <c r="O52" i="35"/>
  <c r="P103" i="35"/>
  <c r="P104" i="35"/>
  <c r="P105" i="35"/>
  <c r="P52" i="35"/>
  <c r="Q103" i="35"/>
  <c r="Q104" i="35"/>
  <c r="Q105" i="35"/>
  <c r="Q52" i="35"/>
  <c r="R103" i="35"/>
  <c r="R104" i="35"/>
  <c r="R105" i="35"/>
  <c r="R52" i="35"/>
  <c r="S103" i="35"/>
  <c r="S104" i="35"/>
  <c r="S105" i="35"/>
  <c r="S52" i="35"/>
  <c r="B50" i="35"/>
  <c r="B52" i="35"/>
  <c r="B53" i="35"/>
  <c r="B54" i="35"/>
  <c r="H109" i="35"/>
  <c r="H110" i="35"/>
  <c r="H111" i="35"/>
  <c r="H112" i="35"/>
  <c r="H58" i="35"/>
  <c r="I109" i="35"/>
  <c r="I110" i="35"/>
  <c r="I111" i="35"/>
  <c r="I112" i="35"/>
  <c r="I58" i="35"/>
  <c r="J109" i="35"/>
  <c r="J110" i="35"/>
  <c r="J111" i="35"/>
  <c r="J112" i="35"/>
  <c r="J58" i="35"/>
  <c r="K109" i="35"/>
  <c r="K110" i="35"/>
  <c r="K111" i="35"/>
  <c r="K112" i="35"/>
  <c r="K58" i="35"/>
  <c r="L109" i="35"/>
  <c r="L110" i="35"/>
  <c r="L111" i="35"/>
  <c r="L112" i="35"/>
  <c r="L58" i="35"/>
  <c r="M109" i="35"/>
  <c r="M110" i="35"/>
  <c r="M111" i="35"/>
  <c r="M112" i="35"/>
  <c r="M58" i="35"/>
  <c r="N109" i="35"/>
  <c r="N110" i="35"/>
  <c r="N111" i="35"/>
  <c r="N112" i="35"/>
  <c r="N58" i="35"/>
  <c r="O109" i="35"/>
  <c r="O110" i="35"/>
  <c r="O111" i="35"/>
  <c r="O112" i="35"/>
  <c r="O58" i="35"/>
  <c r="P109" i="35"/>
  <c r="P110" i="35"/>
  <c r="P111" i="35"/>
  <c r="P112" i="35"/>
  <c r="P58" i="35"/>
  <c r="Q109" i="35"/>
  <c r="Q110" i="35"/>
  <c r="Q111" i="35"/>
  <c r="Q112" i="35"/>
  <c r="Q58" i="35"/>
  <c r="R109" i="35"/>
  <c r="R110" i="35"/>
  <c r="R111" i="35"/>
  <c r="R112" i="35"/>
  <c r="R58" i="35"/>
  <c r="S109" i="35"/>
  <c r="S110" i="35"/>
  <c r="S111" i="35"/>
  <c r="S112" i="35"/>
  <c r="S58" i="35"/>
  <c r="B55" i="35"/>
  <c r="H114" i="35"/>
  <c r="H115" i="35"/>
  <c r="H116" i="35"/>
  <c r="H117" i="35"/>
  <c r="H59" i="35"/>
  <c r="I114" i="35"/>
  <c r="I115" i="35"/>
  <c r="I116" i="35"/>
  <c r="I117" i="35"/>
  <c r="I59" i="35"/>
  <c r="J114" i="35"/>
  <c r="J115" i="35"/>
  <c r="J116" i="35"/>
  <c r="J117" i="35"/>
  <c r="J59" i="35"/>
  <c r="K114" i="35"/>
  <c r="K115" i="35"/>
  <c r="K116" i="35"/>
  <c r="K117" i="35"/>
  <c r="K59" i="35"/>
  <c r="L114" i="35"/>
  <c r="L115" i="35"/>
  <c r="L116" i="35"/>
  <c r="L117" i="35"/>
  <c r="L59" i="35"/>
  <c r="M114" i="35"/>
  <c r="M115" i="35"/>
  <c r="M116" i="35"/>
  <c r="M117" i="35"/>
  <c r="M59" i="35"/>
  <c r="N114" i="35"/>
  <c r="N115" i="35"/>
  <c r="N116" i="35"/>
  <c r="N117" i="35"/>
  <c r="N59" i="35"/>
  <c r="O114" i="35"/>
  <c r="O115" i="35"/>
  <c r="O116" i="35"/>
  <c r="O117" i="35"/>
  <c r="O59" i="35"/>
  <c r="P114" i="35"/>
  <c r="P115" i="35"/>
  <c r="P116" i="35"/>
  <c r="P117" i="35"/>
  <c r="P59" i="35"/>
  <c r="Q114" i="35"/>
  <c r="Q115" i="35"/>
  <c r="Q116" i="35"/>
  <c r="Q117" i="35"/>
  <c r="Q59" i="35"/>
  <c r="R114" i="35"/>
  <c r="R115" i="35"/>
  <c r="R116" i="35"/>
  <c r="R117" i="35"/>
  <c r="R59" i="35"/>
  <c r="S114" i="35"/>
  <c r="S115" i="35"/>
  <c r="S116" i="35"/>
  <c r="S117" i="35"/>
  <c r="S59" i="35"/>
  <c r="B56" i="35"/>
  <c r="H119" i="35"/>
  <c r="H120" i="35"/>
  <c r="H121" i="35"/>
  <c r="H122" i="35"/>
  <c r="H60" i="35"/>
  <c r="I119" i="35"/>
  <c r="I120" i="35"/>
  <c r="I121" i="35"/>
  <c r="I122" i="35"/>
  <c r="I60" i="35"/>
  <c r="J119" i="35"/>
  <c r="J120" i="35"/>
  <c r="J121" i="35"/>
  <c r="J122" i="35"/>
  <c r="J60" i="35"/>
  <c r="K119" i="35"/>
  <c r="K120" i="35"/>
  <c r="K121" i="35"/>
  <c r="K122" i="35"/>
  <c r="K60" i="35"/>
  <c r="L119" i="35"/>
  <c r="L120" i="35"/>
  <c r="L121" i="35"/>
  <c r="L122" i="35"/>
  <c r="L60" i="35"/>
  <c r="M119" i="35"/>
  <c r="M120" i="35"/>
  <c r="M121" i="35"/>
  <c r="M122" i="35"/>
  <c r="M60" i="35"/>
  <c r="N119" i="35"/>
  <c r="N120" i="35"/>
  <c r="N121" i="35"/>
  <c r="N122" i="35"/>
  <c r="N60" i="35"/>
  <c r="O119" i="35"/>
  <c r="O120" i="35"/>
  <c r="O121" i="35"/>
  <c r="O122" i="35"/>
  <c r="O60" i="35"/>
  <c r="P119" i="35"/>
  <c r="P120" i="35"/>
  <c r="P121" i="35"/>
  <c r="P122" i="35"/>
  <c r="P60" i="35"/>
  <c r="Q119" i="35"/>
  <c r="Q120" i="35"/>
  <c r="Q121" i="35"/>
  <c r="Q122" i="35"/>
  <c r="Q60" i="35"/>
  <c r="R119" i="35"/>
  <c r="R120" i="35"/>
  <c r="R121" i="35"/>
  <c r="R122" i="35"/>
  <c r="R60" i="35"/>
  <c r="S119" i="35"/>
  <c r="S120" i="35"/>
  <c r="S121" i="35"/>
  <c r="S122" i="35"/>
  <c r="S60" i="35"/>
  <c r="B57" i="35"/>
  <c r="K41" i="21"/>
  <c r="J41" i="21"/>
  <c r="I41" i="21"/>
  <c r="E15" i="21"/>
  <c r="K40" i="21"/>
  <c r="J40" i="21"/>
  <c r="I40" i="21"/>
  <c r="K39" i="21"/>
  <c r="J39" i="21"/>
  <c r="B25" i="24"/>
  <c r="E20" i="21"/>
  <c r="E19" i="21"/>
  <c r="E17" i="21"/>
  <c r="E14" i="21"/>
  <c r="F13" i="24"/>
  <c r="F21" i="24"/>
  <c r="F10" i="24"/>
  <c r="F12" i="24"/>
  <c r="F20" i="24"/>
  <c r="F19" i="24"/>
  <c r="F18" i="24"/>
  <c r="F17" i="24"/>
  <c r="F16" i="24"/>
  <c r="F15" i="24"/>
  <c r="F14" i="24"/>
  <c r="B18" i="24"/>
  <c r="D18" i="24"/>
  <c r="B19" i="24"/>
  <c r="B20" i="24"/>
  <c r="D20" i="24"/>
  <c r="B21" i="24"/>
  <c r="D13" i="24"/>
  <c r="D13" i="9"/>
  <c r="D21" i="9"/>
  <c r="D10" i="9"/>
  <c r="D12" i="9"/>
  <c r="D20" i="9"/>
  <c r="D19" i="9"/>
  <c r="D18" i="9"/>
  <c r="D17" i="9"/>
  <c r="D16" i="9"/>
  <c r="D15" i="9"/>
  <c r="D11" i="9"/>
  <c r="D14" i="9"/>
  <c r="B11" i="24"/>
  <c r="B25" i="26"/>
  <c r="B21" i="26"/>
  <c r="B20" i="26"/>
  <c r="B19" i="26"/>
  <c r="B18" i="26"/>
  <c r="B17" i="26"/>
  <c r="B16" i="26"/>
  <c r="A215" i="18"/>
  <c r="A182" i="18"/>
  <c r="A61" i="7"/>
  <c r="A68" i="7"/>
  <c r="B14" i="7"/>
  <c r="C186" i="18"/>
  <c r="C187" i="18"/>
  <c r="C185" i="18"/>
  <c r="B12" i="28"/>
  <c r="B11" i="26"/>
  <c r="B11" i="28"/>
  <c r="J31" i="22"/>
  <c r="B15" i="27"/>
  <c r="B14" i="27"/>
  <c r="B13" i="27"/>
  <c r="D20" i="27"/>
  <c r="C25" i="27"/>
  <c r="D7" i="24"/>
  <c r="I35" i="24"/>
  <c r="J35" i="24"/>
  <c r="K35" i="24"/>
  <c r="I33" i="22"/>
  <c r="J33" i="22"/>
  <c r="K33" i="22"/>
  <c r="D7" i="22"/>
  <c r="B13" i="24"/>
  <c r="B14" i="24"/>
  <c r="B15" i="24"/>
  <c r="B16" i="24"/>
  <c r="B7" i="24"/>
  <c r="L7" i="24"/>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5" i="28"/>
  <c r="B16" i="28"/>
  <c r="B7" i="28"/>
  <c r="H6" i="28"/>
  <c r="H227" i="18"/>
  <c r="I227" i="18"/>
  <c r="J227" i="18"/>
  <c r="K227" i="18"/>
  <c r="L227" i="18"/>
  <c r="G228" i="18"/>
  <c r="H228" i="18"/>
  <c r="B13" i="28"/>
  <c r="B18" i="28"/>
  <c r="I7" i="28"/>
  <c r="I228" i="18"/>
  <c r="B17" i="28"/>
  <c r="I8" i="28"/>
  <c r="J7" i="28"/>
  <c r="J228" i="18"/>
  <c r="K228" i="18"/>
  <c r="L228" i="18"/>
  <c r="G229" i="18"/>
  <c r="H229" i="18"/>
  <c r="I229" i="18"/>
  <c r="J8" i="28"/>
  <c r="J229" i="18"/>
  <c r="K229" i="18"/>
  <c r="L229" i="18"/>
  <c r="G230" i="18"/>
  <c r="H230" i="18"/>
  <c r="I230" i="18"/>
  <c r="J230" i="18"/>
  <c r="K9" i="28"/>
  <c r="K230" i="18"/>
  <c r="L230" i="18"/>
  <c r="L5" i="28"/>
  <c r="G10" i="28"/>
  <c r="G231" i="18"/>
  <c r="H231" i="18"/>
  <c r="I231" i="18"/>
  <c r="J231" i="18"/>
  <c r="K231" i="18"/>
  <c r="L231" i="18"/>
  <c r="H226" i="18"/>
  <c r="I226" i="18"/>
  <c r="J226" i="18"/>
  <c r="K226" i="18"/>
  <c r="L226" i="18"/>
  <c r="G5" i="28"/>
  <c r="G226" i="18"/>
  <c r="G194" i="18"/>
  <c r="B17" i="27"/>
  <c r="B11" i="27"/>
  <c r="B7" i="27"/>
  <c r="H6" i="27"/>
  <c r="H194" i="18"/>
  <c r="I194" i="18"/>
  <c r="J6" i="27"/>
  <c r="J194" i="18"/>
  <c r="K194" i="18"/>
  <c r="L194" i="18"/>
  <c r="G195" i="18"/>
  <c r="H195" i="18"/>
  <c r="B16" i="27"/>
  <c r="I7" i="27"/>
  <c r="I195" i="18"/>
  <c r="J195" i="18"/>
  <c r="K195" i="18"/>
  <c r="L195" i="18"/>
  <c r="G196" i="18"/>
  <c r="H8" i="27"/>
  <c r="H196" i="18"/>
  <c r="I196" i="18"/>
  <c r="J8" i="27"/>
  <c r="J196" i="18"/>
  <c r="K196" i="18"/>
  <c r="L196" i="18"/>
  <c r="B18" i="27"/>
  <c r="G9" i="27"/>
  <c r="G197" i="18"/>
  <c r="H197" i="18"/>
  <c r="I197" i="18"/>
  <c r="J197" i="18"/>
  <c r="K9" i="27"/>
  <c r="K197" i="18"/>
  <c r="L197" i="18"/>
  <c r="G198" i="18"/>
  <c r="H198" i="18"/>
  <c r="I198" i="18"/>
  <c r="J198" i="18"/>
  <c r="K198" i="18"/>
  <c r="G5" i="27"/>
  <c r="B19" i="27"/>
  <c r="B9" i="27"/>
  <c r="L10" i="27"/>
  <c r="L198" i="18"/>
  <c r="H193" i="18"/>
  <c r="I193" i="18"/>
  <c r="J193" i="18"/>
  <c r="K5" i="27"/>
  <c r="K193" i="18"/>
  <c r="L193" i="18"/>
  <c r="G193" i="18"/>
  <c r="G161" i="18"/>
  <c r="I161" i="18"/>
  <c r="J161" i="18"/>
  <c r="K161" i="18"/>
  <c r="G162" i="18"/>
  <c r="H162" i="18"/>
  <c r="L162" i="18"/>
  <c r="G163" i="18"/>
  <c r="H163" i="18"/>
  <c r="K163" i="18"/>
  <c r="L163" i="18"/>
  <c r="G164" i="18"/>
  <c r="H164" i="18"/>
  <c r="J164" i="18"/>
  <c r="B9" i="26"/>
  <c r="L164" i="18"/>
  <c r="I165" i="18"/>
  <c r="J165" i="18"/>
  <c r="K165" i="18"/>
  <c r="H160" i="18"/>
  <c r="I160" i="18"/>
  <c r="J160" i="18"/>
  <c r="K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B17" i="24"/>
  <c r="K6" i="24"/>
  <c r="H95" i="18"/>
  <c r="I95" i="18"/>
  <c r="M6" i="24"/>
  <c r="J95" i="18"/>
  <c r="K95" i="18"/>
  <c r="L95" i="18"/>
  <c r="G96" i="18"/>
  <c r="H96" i="18"/>
  <c r="I96" i="18"/>
  <c r="J96" i="18"/>
  <c r="K96" i="18"/>
  <c r="L96" i="18"/>
  <c r="G97" i="18"/>
  <c r="K8" i="24"/>
  <c r="H97" i="18"/>
  <c r="I97" i="18"/>
  <c r="M8" i="24"/>
  <c r="J97" i="18"/>
  <c r="K97" i="18"/>
  <c r="L97" i="18"/>
  <c r="J9" i="24"/>
  <c r="G98" i="18"/>
  <c r="H98" i="18"/>
  <c r="I98" i="18"/>
  <c r="J98" i="18"/>
  <c r="N9" i="24"/>
  <c r="K98" i="18"/>
  <c r="L98" i="18"/>
  <c r="G99" i="18"/>
  <c r="H99" i="18"/>
  <c r="I99" i="18"/>
  <c r="J99" i="18"/>
  <c r="K99" i="18"/>
  <c r="B9" i="24"/>
  <c r="O10" i="24"/>
  <c r="L99" i="18"/>
  <c r="H94" i="18"/>
  <c r="I94" i="18"/>
  <c r="J94" i="18"/>
  <c r="N5" i="24"/>
  <c r="K94" i="18"/>
  <c r="L94" i="18"/>
  <c r="G94" i="18"/>
  <c r="G62" i="18"/>
  <c r="H62" i="18"/>
  <c r="I62" i="18"/>
  <c r="J62" i="18"/>
  <c r="K62" i="18"/>
  <c r="L62" i="18"/>
  <c r="G63" i="18"/>
  <c r="H63" i="18"/>
  <c r="I63" i="18"/>
  <c r="J63" i="18"/>
  <c r="K63" i="18"/>
  <c r="L63" i="18"/>
  <c r="G64" i="18"/>
  <c r="H64" i="18"/>
  <c r="I64" i="18"/>
  <c r="J64" i="18"/>
  <c r="K64" i="18"/>
  <c r="L64" i="18"/>
  <c r="G65" i="18"/>
  <c r="H65" i="18"/>
  <c r="I65" i="18"/>
  <c r="J65" i="18"/>
  <c r="K65" i="18"/>
  <c r="L65" i="18"/>
  <c r="G66" i="18"/>
  <c r="H66" i="18"/>
  <c r="I66" i="18"/>
  <c r="J66" i="18"/>
  <c r="K66" i="18"/>
  <c r="B9" i="22"/>
  <c r="L66" i="18"/>
  <c r="H61" i="18"/>
  <c r="I61" i="18"/>
  <c r="J61" i="18"/>
  <c r="K61" i="18"/>
  <c r="L61" i="18"/>
  <c r="G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B21" i="22"/>
  <c r="B20" i="22"/>
  <c r="S66" i="26"/>
  <c r="B21" i="27"/>
  <c r="B20" i="27"/>
  <c r="D20" i="26"/>
  <c r="D20" i="22"/>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4" i="24"/>
  <c r="D12" i="24"/>
  <c r="D6" i="24"/>
  <c r="D10" i="24"/>
  <c r="D13" i="22"/>
  <c r="D14" i="22"/>
  <c r="D12" i="22"/>
  <c r="D10" i="22"/>
  <c r="D7" i="21"/>
  <c r="D13" i="21"/>
  <c r="D14" i="21"/>
  <c r="D12" i="21"/>
  <c r="D6" i="21"/>
  <c r="D10" i="21"/>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S120" i="31"/>
  <c r="S121" i="31"/>
  <c r="S122" i="31"/>
  <c r="S123" i="31"/>
  <c r="R120" i="31"/>
  <c r="R121" i="31"/>
  <c r="R122" i="31"/>
  <c r="R123" i="31"/>
  <c r="Q120" i="31"/>
  <c r="Q121" i="31"/>
  <c r="Q122" i="31"/>
  <c r="Q123" i="31"/>
  <c r="P120" i="31"/>
  <c r="P121" i="31"/>
  <c r="P122" i="31"/>
  <c r="P123" i="31"/>
  <c r="O120" i="31"/>
  <c r="O121" i="31"/>
  <c r="O122" i="31"/>
  <c r="O123" i="31"/>
  <c r="N120" i="31"/>
  <c r="N121" i="31"/>
  <c r="N122" i="31"/>
  <c r="N123" i="31"/>
  <c r="M120" i="31"/>
  <c r="M121" i="31"/>
  <c r="M122" i="31"/>
  <c r="M123" i="31"/>
  <c r="L120" i="31"/>
  <c r="L121" i="31"/>
  <c r="L122" i="31"/>
  <c r="L123" i="31"/>
  <c r="K120" i="31"/>
  <c r="K121" i="31"/>
  <c r="K122" i="31"/>
  <c r="K123" i="31"/>
  <c r="J120" i="31"/>
  <c r="J121" i="31"/>
  <c r="J122" i="31"/>
  <c r="J123" i="31"/>
  <c r="I120" i="31"/>
  <c r="I121" i="31"/>
  <c r="I122" i="31"/>
  <c r="I123" i="31"/>
  <c r="H120" i="31"/>
  <c r="H121" i="31"/>
  <c r="H122" i="31"/>
  <c r="H123" i="31"/>
  <c r="S115" i="31"/>
  <c r="S116" i="31"/>
  <c r="S117" i="31"/>
  <c r="S118" i="31"/>
  <c r="R115" i="31"/>
  <c r="R116" i="31"/>
  <c r="R117" i="31"/>
  <c r="R118" i="31"/>
  <c r="Q115" i="31"/>
  <c r="Q116" i="31"/>
  <c r="Q117" i="31"/>
  <c r="Q118" i="31"/>
  <c r="P115" i="31"/>
  <c r="P116" i="31"/>
  <c r="P117" i="31"/>
  <c r="P118" i="31"/>
  <c r="O115" i="31"/>
  <c r="O116" i="31"/>
  <c r="O117" i="31"/>
  <c r="O118" i="31"/>
  <c r="N115" i="31"/>
  <c r="N116" i="31"/>
  <c r="N117" i="31"/>
  <c r="N118" i="31"/>
  <c r="M115" i="31"/>
  <c r="M116" i="31"/>
  <c r="M117" i="31"/>
  <c r="M118" i="31"/>
  <c r="L115" i="31"/>
  <c r="L116" i="31"/>
  <c r="L117" i="31"/>
  <c r="L118" i="31"/>
  <c r="K115" i="31"/>
  <c r="K116" i="31"/>
  <c r="K117" i="31"/>
  <c r="K118" i="31"/>
  <c r="J115" i="31"/>
  <c r="J116" i="31"/>
  <c r="J117" i="31"/>
  <c r="J118" i="31"/>
  <c r="I115" i="31"/>
  <c r="I116" i="31"/>
  <c r="I117" i="31"/>
  <c r="I118" i="31"/>
  <c r="H115" i="31"/>
  <c r="H116" i="31"/>
  <c r="H117" i="31"/>
  <c r="H118" i="31"/>
  <c r="S110" i="31"/>
  <c r="S111" i="31"/>
  <c r="S112" i="31"/>
  <c r="S113" i="31"/>
  <c r="R110" i="31"/>
  <c r="R111" i="31"/>
  <c r="R112" i="31"/>
  <c r="R113" i="31"/>
  <c r="Q110" i="31"/>
  <c r="Q111" i="31"/>
  <c r="Q112" i="31"/>
  <c r="Q113" i="31"/>
  <c r="P110" i="31"/>
  <c r="P111" i="31"/>
  <c r="P112" i="31"/>
  <c r="P113" i="31"/>
  <c r="O110" i="31"/>
  <c r="O111" i="31"/>
  <c r="O112" i="31"/>
  <c r="O113" i="31"/>
  <c r="N110" i="31"/>
  <c r="N111" i="31"/>
  <c r="N112" i="31"/>
  <c r="N113" i="31"/>
  <c r="M110" i="31"/>
  <c r="M111" i="31"/>
  <c r="M112" i="31"/>
  <c r="M113" i="31"/>
  <c r="L110" i="31"/>
  <c r="L111" i="31"/>
  <c r="L112" i="31"/>
  <c r="L113" i="31"/>
  <c r="K110" i="31"/>
  <c r="K111" i="31"/>
  <c r="K112" i="31"/>
  <c r="K113" i="31"/>
  <c r="J110" i="31"/>
  <c r="J111" i="31"/>
  <c r="J112" i="31"/>
  <c r="J113" i="31"/>
  <c r="I110" i="31"/>
  <c r="I111" i="31"/>
  <c r="I112" i="31"/>
  <c r="I113" i="31"/>
  <c r="H110" i="31"/>
  <c r="H111" i="31"/>
  <c r="H112" i="31"/>
  <c r="H113" i="31"/>
  <c r="S104" i="31"/>
  <c r="S105" i="31"/>
  <c r="S106" i="31"/>
  <c r="R104" i="31"/>
  <c r="R105" i="31"/>
  <c r="R106" i="31"/>
  <c r="Q104" i="31"/>
  <c r="Q105" i="31"/>
  <c r="Q106" i="31"/>
  <c r="P104" i="31"/>
  <c r="P105" i="31"/>
  <c r="P106" i="31"/>
  <c r="O104" i="31"/>
  <c r="O105" i="31"/>
  <c r="O106" i="31"/>
  <c r="N104" i="31"/>
  <c r="N105" i="31"/>
  <c r="N106" i="31"/>
  <c r="M104" i="31"/>
  <c r="M105" i="31"/>
  <c r="M106" i="31"/>
  <c r="L104" i="31"/>
  <c r="L105" i="31"/>
  <c r="L106" i="31"/>
  <c r="K48" i="31"/>
  <c r="K104" i="31"/>
  <c r="K47" i="31"/>
  <c r="K105" i="31"/>
  <c r="K106" i="31"/>
  <c r="J48" i="31"/>
  <c r="J104" i="31"/>
  <c r="J47" i="31"/>
  <c r="J105" i="31"/>
  <c r="J106" i="31"/>
  <c r="I48" i="31"/>
  <c r="I104" i="31"/>
  <c r="I47" i="31"/>
  <c r="I105" i="31"/>
  <c r="I106" i="31"/>
  <c r="H48" i="31"/>
  <c r="H104" i="31"/>
  <c r="H47" i="31"/>
  <c r="H105" i="31"/>
  <c r="H106" i="31"/>
  <c r="S100" i="31"/>
  <c r="S101" i="31"/>
  <c r="S102" i="31"/>
  <c r="R100" i="31"/>
  <c r="R101" i="31"/>
  <c r="R102" i="31"/>
  <c r="Q100" i="31"/>
  <c r="Q101" i="31"/>
  <c r="Q102" i="31"/>
  <c r="P100" i="31"/>
  <c r="P101" i="31"/>
  <c r="P102" i="31"/>
  <c r="O100" i="31"/>
  <c r="O101" i="31"/>
  <c r="O102" i="31"/>
  <c r="N100" i="31"/>
  <c r="N101" i="31"/>
  <c r="N102" i="31"/>
  <c r="M100" i="31"/>
  <c r="M101" i="31"/>
  <c r="M102" i="31"/>
  <c r="L100" i="31"/>
  <c r="L101" i="31"/>
  <c r="L102" i="31"/>
  <c r="K49" i="31"/>
  <c r="K100" i="31"/>
  <c r="K101" i="31"/>
  <c r="K102" i="31"/>
  <c r="J49" i="31"/>
  <c r="J100" i="31"/>
  <c r="J101" i="31"/>
  <c r="J102" i="31"/>
  <c r="I49" i="31"/>
  <c r="I100" i="31"/>
  <c r="I101" i="31"/>
  <c r="I102" i="31"/>
  <c r="H49" i="31"/>
  <c r="H100" i="31"/>
  <c r="H101" i="31"/>
  <c r="H102" i="31"/>
  <c r="S96" i="31"/>
  <c r="S97" i="31"/>
  <c r="S98" i="31"/>
  <c r="R96" i="31"/>
  <c r="R97" i="31"/>
  <c r="R98" i="31"/>
  <c r="Q96" i="31"/>
  <c r="Q97" i="31"/>
  <c r="Q98" i="31"/>
  <c r="P96" i="31"/>
  <c r="P97" i="31"/>
  <c r="P98" i="31"/>
  <c r="O96" i="31"/>
  <c r="O97" i="31"/>
  <c r="O98" i="31"/>
  <c r="N96" i="31"/>
  <c r="N97" i="31"/>
  <c r="N98" i="31"/>
  <c r="M96" i="31"/>
  <c r="M97" i="31"/>
  <c r="M98" i="31"/>
  <c r="L96" i="31"/>
  <c r="L97" i="31"/>
  <c r="L98" i="31"/>
  <c r="K96" i="31"/>
  <c r="K97" i="31"/>
  <c r="K98" i="31"/>
  <c r="J96" i="31"/>
  <c r="J97" i="31"/>
  <c r="J98" i="31"/>
  <c r="I96" i="31"/>
  <c r="I97" i="31"/>
  <c r="I98" i="31"/>
  <c r="H96" i="31"/>
  <c r="H97" i="31"/>
  <c r="H98" i="31"/>
  <c r="S120" i="30"/>
  <c r="S121" i="30"/>
  <c r="S122" i="30"/>
  <c r="S123" i="30"/>
  <c r="R120" i="30"/>
  <c r="R121" i="30"/>
  <c r="R122" i="30"/>
  <c r="R123" i="30"/>
  <c r="Q120" i="30"/>
  <c r="Q121" i="30"/>
  <c r="Q122" i="30"/>
  <c r="Q123" i="30"/>
  <c r="P120" i="30"/>
  <c r="P121" i="30"/>
  <c r="P122" i="30"/>
  <c r="P123" i="30"/>
  <c r="O120" i="30"/>
  <c r="O121" i="30"/>
  <c r="O122" i="30"/>
  <c r="O123" i="30"/>
  <c r="N120" i="30"/>
  <c r="N121" i="30"/>
  <c r="N122" i="30"/>
  <c r="N123" i="30"/>
  <c r="M120" i="30"/>
  <c r="M121" i="30"/>
  <c r="M122" i="30"/>
  <c r="M123" i="30"/>
  <c r="L120" i="30"/>
  <c r="L121" i="30"/>
  <c r="L122" i="30"/>
  <c r="L123" i="30"/>
  <c r="K120" i="30"/>
  <c r="K121" i="30"/>
  <c r="K122" i="30"/>
  <c r="K123" i="30"/>
  <c r="J120" i="30"/>
  <c r="J121" i="30"/>
  <c r="J122" i="30"/>
  <c r="J123" i="30"/>
  <c r="I120" i="30"/>
  <c r="I121" i="30"/>
  <c r="I122" i="30"/>
  <c r="I123" i="30"/>
  <c r="H120" i="30"/>
  <c r="H121" i="30"/>
  <c r="H122" i="30"/>
  <c r="H123" i="30"/>
  <c r="S115" i="30"/>
  <c r="S116" i="30"/>
  <c r="S117" i="30"/>
  <c r="S118" i="30"/>
  <c r="R115" i="30"/>
  <c r="R116" i="30"/>
  <c r="R117" i="30"/>
  <c r="R118" i="30"/>
  <c r="Q115" i="30"/>
  <c r="Q116" i="30"/>
  <c r="Q117" i="30"/>
  <c r="Q118" i="30"/>
  <c r="P115" i="30"/>
  <c r="P116" i="30"/>
  <c r="P117" i="30"/>
  <c r="P118" i="30"/>
  <c r="O115" i="30"/>
  <c r="O116" i="30"/>
  <c r="O117" i="30"/>
  <c r="O118" i="30"/>
  <c r="N115" i="30"/>
  <c r="N116" i="30"/>
  <c r="N117" i="30"/>
  <c r="N118" i="30"/>
  <c r="M115" i="30"/>
  <c r="M116" i="30"/>
  <c r="M117" i="30"/>
  <c r="M118" i="30"/>
  <c r="L115" i="30"/>
  <c r="L116" i="30"/>
  <c r="L117" i="30"/>
  <c r="L118" i="30"/>
  <c r="K115" i="30"/>
  <c r="K116" i="30"/>
  <c r="K117" i="30"/>
  <c r="K118" i="30"/>
  <c r="J115" i="30"/>
  <c r="J116" i="30"/>
  <c r="J117" i="30"/>
  <c r="J118" i="30"/>
  <c r="I115" i="30"/>
  <c r="I116" i="30"/>
  <c r="I117" i="30"/>
  <c r="I118" i="30"/>
  <c r="H115" i="30"/>
  <c r="H116" i="30"/>
  <c r="H117" i="30"/>
  <c r="H118" i="30"/>
  <c r="S110" i="30"/>
  <c r="S111" i="30"/>
  <c r="S112" i="30"/>
  <c r="S113" i="30"/>
  <c r="R110" i="30"/>
  <c r="R111" i="30"/>
  <c r="R112" i="30"/>
  <c r="R113" i="30"/>
  <c r="Q110" i="30"/>
  <c r="Q111" i="30"/>
  <c r="Q112" i="30"/>
  <c r="Q113" i="30"/>
  <c r="P110" i="30"/>
  <c r="P111" i="30"/>
  <c r="P112" i="30"/>
  <c r="P113" i="30"/>
  <c r="O110" i="30"/>
  <c r="O111" i="30"/>
  <c r="O112" i="30"/>
  <c r="O113" i="30"/>
  <c r="N110" i="30"/>
  <c r="N111" i="30"/>
  <c r="N112" i="30"/>
  <c r="N113" i="30"/>
  <c r="M110" i="30"/>
  <c r="M111" i="30"/>
  <c r="M112" i="30"/>
  <c r="M113" i="30"/>
  <c r="L110" i="30"/>
  <c r="L111" i="30"/>
  <c r="L112" i="30"/>
  <c r="L113" i="30"/>
  <c r="K110" i="30"/>
  <c r="K111" i="30"/>
  <c r="K112" i="30"/>
  <c r="K113" i="30"/>
  <c r="J110" i="30"/>
  <c r="J111" i="30"/>
  <c r="J112" i="30"/>
  <c r="J113" i="30"/>
  <c r="I110" i="30"/>
  <c r="I111" i="30"/>
  <c r="I112" i="30"/>
  <c r="I113" i="30"/>
  <c r="H110" i="30"/>
  <c r="H111" i="30"/>
  <c r="H112" i="30"/>
  <c r="H113" i="30"/>
  <c r="S104" i="30"/>
  <c r="S105" i="30"/>
  <c r="S106" i="30"/>
  <c r="R104" i="30"/>
  <c r="R105" i="30"/>
  <c r="R106" i="30"/>
  <c r="Q104" i="30"/>
  <c r="Q105" i="30"/>
  <c r="Q106" i="30"/>
  <c r="P104" i="30"/>
  <c r="P105" i="30"/>
  <c r="P106" i="30"/>
  <c r="O104" i="30"/>
  <c r="O105" i="30"/>
  <c r="O106" i="30"/>
  <c r="N104" i="30"/>
  <c r="N105" i="30"/>
  <c r="N106" i="30"/>
  <c r="M104" i="30"/>
  <c r="M105" i="30"/>
  <c r="M106" i="30"/>
  <c r="L104" i="30"/>
  <c r="L105" i="30"/>
  <c r="L106" i="30"/>
  <c r="K48" i="30"/>
  <c r="K104" i="30"/>
  <c r="K47" i="30"/>
  <c r="K105" i="30"/>
  <c r="K106" i="30"/>
  <c r="J48" i="30"/>
  <c r="J104" i="30"/>
  <c r="J47" i="30"/>
  <c r="J105" i="30"/>
  <c r="J106" i="30"/>
  <c r="I48" i="30"/>
  <c r="I104" i="30"/>
  <c r="I47" i="30"/>
  <c r="I105" i="30"/>
  <c r="I106" i="30"/>
  <c r="H48" i="30"/>
  <c r="H104" i="30"/>
  <c r="H47" i="30"/>
  <c r="H105" i="30"/>
  <c r="H106" i="30"/>
  <c r="S100" i="30"/>
  <c r="S101" i="30"/>
  <c r="S102" i="30"/>
  <c r="R100" i="30"/>
  <c r="R101" i="30"/>
  <c r="R102" i="30"/>
  <c r="Q100" i="30"/>
  <c r="Q101" i="30"/>
  <c r="Q102" i="30"/>
  <c r="P100" i="30"/>
  <c r="P101" i="30"/>
  <c r="P102" i="30"/>
  <c r="O100" i="30"/>
  <c r="O101" i="30"/>
  <c r="O102" i="30"/>
  <c r="N100" i="30"/>
  <c r="N101" i="30"/>
  <c r="N102" i="30"/>
  <c r="M100" i="30"/>
  <c r="M101" i="30"/>
  <c r="M102" i="30"/>
  <c r="L100" i="30"/>
  <c r="L101" i="30"/>
  <c r="L102" i="30"/>
  <c r="K49" i="30"/>
  <c r="K100" i="30"/>
  <c r="K101" i="30"/>
  <c r="K102" i="30"/>
  <c r="J49" i="30"/>
  <c r="J100" i="30"/>
  <c r="J101" i="30"/>
  <c r="J102" i="30"/>
  <c r="I49" i="30"/>
  <c r="I100" i="30"/>
  <c r="I101" i="30"/>
  <c r="I102" i="30"/>
  <c r="H49" i="30"/>
  <c r="H100" i="30"/>
  <c r="H101" i="30"/>
  <c r="H102" i="30"/>
  <c r="S96" i="30"/>
  <c r="S97" i="30"/>
  <c r="S98" i="30"/>
  <c r="R96" i="30"/>
  <c r="R97" i="30"/>
  <c r="R98" i="30"/>
  <c r="Q96" i="30"/>
  <c r="Q97" i="30"/>
  <c r="Q98" i="30"/>
  <c r="P96" i="30"/>
  <c r="P97" i="30"/>
  <c r="P98" i="30"/>
  <c r="O96" i="30"/>
  <c r="O97" i="30"/>
  <c r="O98" i="30"/>
  <c r="N96" i="30"/>
  <c r="N97" i="30"/>
  <c r="N98" i="30"/>
  <c r="M96" i="30"/>
  <c r="M97" i="30"/>
  <c r="M98" i="30"/>
  <c r="L96" i="30"/>
  <c r="L97" i="30"/>
  <c r="L98" i="30"/>
  <c r="K96" i="30"/>
  <c r="K97" i="30"/>
  <c r="K98" i="30"/>
  <c r="J96" i="30"/>
  <c r="J97" i="30"/>
  <c r="J98" i="30"/>
  <c r="I96" i="30"/>
  <c r="I97" i="30"/>
  <c r="I98" i="30"/>
  <c r="H96" i="30"/>
  <c r="H97" i="30"/>
  <c r="H98" i="30"/>
  <c r="S120" i="29"/>
  <c r="S121" i="29"/>
  <c r="S122" i="29"/>
  <c r="S123" i="29"/>
  <c r="R120" i="29"/>
  <c r="R121" i="29"/>
  <c r="R122" i="29"/>
  <c r="R123" i="29"/>
  <c r="Q120" i="29"/>
  <c r="Q121" i="29"/>
  <c r="Q122" i="29"/>
  <c r="Q123" i="29"/>
  <c r="P120" i="29"/>
  <c r="P121" i="29"/>
  <c r="P122" i="29"/>
  <c r="P123" i="29"/>
  <c r="O120" i="29"/>
  <c r="O121" i="29"/>
  <c r="O122" i="29"/>
  <c r="O123" i="29"/>
  <c r="N120" i="29"/>
  <c r="N121" i="29"/>
  <c r="N122" i="29"/>
  <c r="N123" i="29"/>
  <c r="M120" i="29"/>
  <c r="M121" i="29"/>
  <c r="M122" i="29"/>
  <c r="M123" i="29"/>
  <c r="L120" i="29"/>
  <c r="L121" i="29"/>
  <c r="L122" i="29"/>
  <c r="L123" i="29"/>
  <c r="K120" i="29"/>
  <c r="K121" i="29"/>
  <c r="K122" i="29"/>
  <c r="K123" i="29"/>
  <c r="J120" i="29"/>
  <c r="J121" i="29"/>
  <c r="J122" i="29"/>
  <c r="J123" i="29"/>
  <c r="I120" i="29"/>
  <c r="I121" i="29"/>
  <c r="I122" i="29"/>
  <c r="I123" i="29"/>
  <c r="H120" i="29"/>
  <c r="H121" i="29"/>
  <c r="H122" i="29"/>
  <c r="H123" i="29"/>
  <c r="S115" i="29"/>
  <c r="S116" i="29"/>
  <c r="S117" i="29"/>
  <c r="S118" i="29"/>
  <c r="R115" i="29"/>
  <c r="R116" i="29"/>
  <c r="R117" i="29"/>
  <c r="R118" i="29"/>
  <c r="Q115" i="29"/>
  <c r="Q116" i="29"/>
  <c r="Q117" i="29"/>
  <c r="Q118" i="29"/>
  <c r="P115" i="29"/>
  <c r="P116" i="29"/>
  <c r="P117" i="29"/>
  <c r="P118" i="29"/>
  <c r="O115" i="29"/>
  <c r="O116" i="29"/>
  <c r="O117" i="29"/>
  <c r="O118" i="29"/>
  <c r="N115" i="29"/>
  <c r="N116" i="29"/>
  <c r="N117" i="29"/>
  <c r="N118" i="29"/>
  <c r="M115" i="29"/>
  <c r="M116" i="29"/>
  <c r="M117" i="29"/>
  <c r="M118" i="29"/>
  <c r="L115" i="29"/>
  <c r="L116" i="29"/>
  <c r="L117" i="29"/>
  <c r="L118" i="29"/>
  <c r="K115" i="29"/>
  <c r="K116" i="29"/>
  <c r="K117" i="29"/>
  <c r="K118" i="29"/>
  <c r="J115" i="29"/>
  <c r="J116" i="29"/>
  <c r="J117" i="29"/>
  <c r="J118" i="29"/>
  <c r="I115" i="29"/>
  <c r="I116" i="29"/>
  <c r="I117" i="29"/>
  <c r="I118" i="29"/>
  <c r="H115" i="29"/>
  <c r="H116" i="29"/>
  <c r="H117" i="29"/>
  <c r="H118" i="29"/>
  <c r="S110" i="29"/>
  <c r="S111" i="29"/>
  <c r="S112" i="29"/>
  <c r="S113" i="29"/>
  <c r="R110" i="29"/>
  <c r="R111" i="29"/>
  <c r="R112" i="29"/>
  <c r="R113" i="29"/>
  <c r="Q110" i="29"/>
  <c r="Q111" i="29"/>
  <c r="Q112" i="29"/>
  <c r="Q113" i="29"/>
  <c r="P110" i="29"/>
  <c r="P111" i="29"/>
  <c r="P112" i="29"/>
  <c r="P113" i="29"/>
  <c r="O110" i="29"/>
  <c r="O111" i="29"/>
  <c r="O112" i="29"/>
  <c r="O113" i="29"/>
  <c r="N110" i="29"/>
  <c r="N111" i="29"/>
  <c r="N112" i="29"/>
  <c r="N113" i="29"/>
  <c r="M110" i="29"/>
  <c r="M111" i="29"/>
  <c r="M112" i="29"/>
  <c r="M113" i="29"/>
  <c r="L110" i="29"/>
  <c r="L111" i="29"/>
  <c r="L112" i="29"/>
  <c r="L113" i="29"/>
  <c r="K110" i="29"/>
  <c r="K111" i="29"/>
  <c r="K112" i="29"/>
  <c r="K113" i="29"/>
  <c r="J110" i="29"/>
  <c r="J111" i="29"/>
  <c r="J112" i="29"/>
  <c r="J113" i="29"/>
  <c r="I110" i="29"/>
  <c r="I111" i="29"/>
  <c r="I112" i="29"/>
  <c r="I113" i="29"/>
  <c r="H110" i="29"/>
  <c r="H111" i="29"/>
  <c r="H112" i="29"/>
  <c r="H113" i="29"/>
  <c r="S104" i="29"/>
  <c r="S105" i="29"/>
  <c r="S106" i="29"/>
  <c r="R104" i="29"/>
  <c r="R105" i="29"/>
  <c r="R106" i="29"/>
  <c r="Q104" i="29"/>
  <c r="Q105" i="29"/>
  <c r="Q106" i="29"/>
  <c r="P104" i="29"/>
  <c r="P105" i="29"/>
  <c r="P106" i="29"/>
  <c r="O104" i="29"/>
  <c r="O105" i="29"/>
  <c r="O106" i="29"/>
  <c r="N104" i="29"/>
  <c r="N105" i="29"/>
  <c r="N106" i="29"/>
  <c r="M104" i="29"/>
  <c r="M105" i="29"/>
  <c r="M106" i="29"/>
  <c r="L104" i="29"/>
  <c r="L105" i="29"/>
  <c r="L106" i="29"/>
  <c r="K48" i="29"/>
  <c r="K104" i="29"/>
  <c r="K47" i="29"/>
  <c r="K105" i="29"/>
  <c r="K106" i="29"/>
  <c r="J48" i="29"/>
  <c r="J104" i="29"/>
  <c r="J47" i="29"/>
  <c r="J105" i="29"/>
  <c r="J106" i="29"/>
  <c r="I48" i="29"/>
  <c r="I104" i="29"/>
  <c r="I47" i="29"/>
  <c r="I105" i="29"/>
  <c r="I106" i="29"/>
  <c r="H48" i="29"/>
  <c r="H104" i="29"/>
  <c r="H47" i="29"/>
  <c r="H105" i="29"/>
  <c r="H106" i="29"/>
  <c r="S100" i="29"/>
  <c r="S101" i="29"/>
  <c r="S102" i="29"/>
  <c r="R100" i="29"/>
  <c r="R101" i="29"/>
  <c r="R102" i="29"/>
  <c r="Q100" i="29"/>
  <c r="Q101" i="29"/>
  <c r="Q102" i="29"/>
  <c r="P100" i="29"/>
  <c r="P101" i="29"/>
  <c r="P102" i="29"/>
  <c r="O100" i="29"/>
  <c r="O101" i="29"/>
  <c r="O102" i="29"/>
  <c r="N100" i="29"/>
  <c r="N101" i="29"/>
  <c r="N102" i="29"/>
  <c r="M100" i="29"/>
  <c r="M101" i="29"/>
  <c r="M102" i="29"/>
  <c r="L100" i="29"/>
  <c r="L101" i="29"/>
  <c r="L102" i="29"/>
  <c r="K49" i="29"/>
  <c r="K100" i="29"/>
  <c r="K101" i="29"/>
  <c r="K102" i="29"/>
  <c r="J49" i="29"/>
  <c r="J100" i="29"/>
  <c r="J101" i="29"/>
  <c r="J102" i="29"/>
  <c r="I49" i="29"/>
  <c r="I100" i="29"/>
  <c r="I101" i="29"/>
  <c r="I102" i="29"/>
  <c r="H49" i="29"/>
  <c r="H100" i="29"/>
  <c r="H101" i="29"/>
  <c r="H102" i="29"/>
  <c r="S96" i="29"/>
  <c r="S97" i="29"/>
  <c r="S98" i="29"/>
  <c r="R96" i="29"/>
  <c r="R97" i="29"/>
  <c r="R98" i="29"/>
  <c r="Q96" i="29"/>
  <c r="Q97" i="29"/>
  <c r="Q98" i="29"/>
  <c r="P96" i="29"/>
  <c r="P97" i="29"/>
  <c r="P98" i="29"/>
  <c r="O96" i="29"/>
  <c r="O97" i="29"/>
  <c r="O98" i="29"/>
  <c r="N96" i="29"/>
  <c r="N97" i="29"/>
  <c r="N98" i="29"/>
  <c r="M96" i="29"/>
  <c r="M97" i="29"/>
  <c r="M98" i="29"/>
  <c r="L96" i="29"/>
  <c r="L97" i="29"/>
  <c r="L98" i="29"/>
  <c r="K96" i="29"/>
  <c r="K97" i="29"/>
  <c r="K98" i="29"/>
  <c r="J96" i="29"/>
  <c r="J97" i="29"/>
  <c r="J98" i="29"/>
  <c r="I96" i="29"/>
  <c r="I97" i="29"/>
  <c r="I98" i="29"/>
  <c r="H96" i="29"/>
  <c r="H97" i="29"/>
  <c r="H98" i="29"/>
  <c r="S119" i="28"/>
  <c r="S120" i="28"/>
  <c r="S121" i="28"/>
  <c r="S122" i="28"/>
  <c r="R119" i="28"/>
  <c r="R120" i="28"/>
  <c r="R121" i="28"/>
  <c r="R122" i="28"/>
  <c r="Q119" i="28"/>
  <c r="Q120" i="28"/>
  <c r="Q121" i="28"/>
  <c r="Q122" i="28"/>
  <c r="P119" i="28"/>
  <c r="P120" i="28"/>
  <c r="P121" i="28"/>
  <c r="P122" i="28"/>
  <c r="O119" i="28"/>
  <c r="O120" i="28"/>
  <c r="O121" i="28"/>
  <c r="O122" i="28"/>
  <c r="N119" i="28"/>
  <c r="N120" i="28"/>
  <c r="N121" i="28"/>
  <c r="N122" i="28"/>
  <c r="M119" i="28"/>
  <c r="M120" i="28"/>
  <c r="M121" i="28"/>
  <c r="M122" i="28"/>
  <c r="L119" i="28"/>
  <c r="L120" i="28"/>
  <c r="L121" i="28"/>
  <c r="L122" i="28"/>
  <c r="K119" i="28"/>
  <c r="K120" i="28"/>
  <c r="K121" i="28"/>
  <c r="K122" i="28"/>
  <c r="J119" i="28"/>
  <c r="J120" i="28"/>
  <c r="J121" i="28"/>
  <c r="J122" i="28"/>
  <c r="I119" i="28"/>
  <c r="I120" i="28"/>
  <c r="I121" i="28"/>
  <c r="I122" i="28"/>
  <c r="H119" i="28"/>
  <c r="H120" i="28"/>
  <c r="H121" i="28"/>
  <c r="H122" i="28"/>
  <c r="S114" i="28"/>
  <c r="S115" i="28"/>
  <c r="S116" i="28"/>
  <c r="S117" i="28"/>
  <c r="R114" i="28"/>
  <c r="R115" i="28"/>
  <c r="R116" i="28"/>
  <c r="R117" i="28"/>
  <c r="Q114" i="28"/>
  <c r="Q115" i="28"/>
  <c r="Q116" i="28"/>
  <c r="Q117" i="28"/>
  <c r="P114" i="28"/>
  <c r="P115" i="28"/>
  <c r="P116" i="28"/>
  <c r="P117" i="28"/>
  <c r="O114" i="28"/>
  <c r="O115" i="28"/>
  <c r="O116" i="28"/>
  <c r="O117" i="28"/>
  <c r="N114" i="28"/>
  <c r="N115" i="28"/>
  <c r="N116" i="28"/>
  <c r="N117" i="28"/>
  <c r="M114" i="28"/>
  <c r="M115" i="28"/>
  <c r="M116" i="28"/>
  <c r="M117" i="28"/>
  <c r="L114" i="28"/>
  <c r="L115" i="28"/>
  <c r="L116" i="28"/>
  <c r="L117" i="28"/>
  <c r="K114" i="28"/>
  <c r="K115" i="28"/>
  <c r="K116" i="28"/>
  <c r="K117" i="28"/>
  <c r="J114" i="28"/>
  <c r="J115" i="28"/>
  <c r="J116" i="28"/>
  <c r="J117" i="28"/>
  <c r="I114" i="28"/>
  <c r="I115" i="28"/>
  <c r="I116" i="28"/>
  <c r="I117" i="28"/>
  <c r="H114" i="28"/>
  <c r="H115" i="28"/>
  <c r="H116" i="28"/>
  <c r="H117" i="28"/>
  <c r="S109" i="28"/>
  <c r="S110" i="28"/>
  <c r="S111" i="28"/>
  <c r="S112" i="28"/>
  <c r="R109" i="28"/>
  <c r="R110" i="28"/>
  <c r="R111" i="28"/>
  <c r="R112" i="28"/>
  <c r="Q109" i="28"/>
  <c r="Q110" i="28"/>
  <c r="Q111" i="28"/>
  <c r="Q112" i="28"/>
  <c r="P109" i="28"/>
  <c r="P110" i="28"/>
  <c r="P111" i="28"/>
  <c r="P112" i="28"/>
  <c r="O109" i="28"/>
  <c r="O110" i="28"/>
  <c r="O111" i="28"/>
  <c r="O112" i="28"/>
  <c r="N109" i="28"/>
  <c r="N110" i="28"/>
  <c r="N111" i="28"/>
  <c r="N112" i="28"/>
  <c r="M109" i="28"/>
  <c r="M110" i="28"/>
  <c r="M111" i="28"/>
  <c r="M112" i="28"/>
  <c r="L109" i="28"/>
  <c r="L110" i="28"/>
  <c r="L111" i="28"/>
  <c r="L112" i="28"/>
  <c r="K109" i="28"/>
  <c r="K110" i="28"/>
  <c r="K111" i="28"/>
  <c r="K112" i="28"/>
  <c r="J109" i="28"/>
  <c r="J110" i="28"/>
  <c r="J111" i="28"/>
  <c r="J112" i="28"/>
  <c r="I109" i="28"/>
  <c r="I110" i="28"/>
  <c r="I111" i="28"/>
  <c r="I112" i="28"/>
  <c r="H109" i="28"/>
  <c r="H110" i="28"/>
  <c r="H111" i="28"/>
  <c r="H112" i="28"/>
  <c r="S103" i="28"/>
  <c r="S104" i="28"/>
  <c r="S105" i="28"/>
  <c r="R103" i="28"/>
  <c r="R104" i="28"/>
  <c r="R105" i="28"/>
  <c r="Q103" i="28"/>
  <c r="Q104" i="28"/>
  <c r="Q105" i="28"/>
  <c r="P103" i="28"/>
  <c r="P104" i="28"/>
  <c r="P105" i="28"/>
  <c r="O103" i="28"/>
  <c r="O104" i="28"/>
  <c r="O105" i="28"/>
  <c r="N103" i="28"/>
  <c r="N104" i="28"/>
  <c r="N105" i="28"/>
  <c r="M103" i="28"/>
  <c r="M104" i="28"/>
  <c r="M105" i="28"/>
  <c r="L103" i="28"/>
  <c r="L104" i="28"/>
  <c r="L105" i="28"/>
  <c r="K47" i="28"/>
  <c r="K103" i="28"/>
  <c r="K46" i="28"/>
  <c r="K104" i="28"/>
  <c r="K105" i="28"/>
  <c r="J47" i="28"/>
  <c r="J103" i="28"/>
  <c r="J46" i="28"/>
  <c r="J104" i="28"/>
  <c r="J105" i="28"/>
  <c r="I47" i="28"/>
  <c r="I103" i="28"/>
  <c r="I46" i="28"/>
  <c r="I104" i="28"/>
  <c r="I105" i="28"/>
  <c r="H47" i="28"/>
  <c r="H103" i="28"/>
  <c r="H46" i="28"/>
  <c r="H104" i="28"/>
  <c r="H105" i="28"/>
  <c r="S99" i="28"/>
  <c r="S100" i="28"/>
  <c r="S101" i="28"/>
  <c r="R99" i="28"/>
  <c r="R100" i="28"/>
  <c r="R101" i="28"/>
  <c r="Q99" i="28"/>
  <c r="Q100" i="28"/>
  <c r="Q101" i="28"/>
  <c r="P99" i="28"/>
  <c r="P100" i="28"/>
  <c r="P101" i="28"/>
  <c r="O99" i="28"/>
  <c r="O100" i="28"/>
  <c r="O101" i="28"/>
  <c r="N99" i="28"/>
  <c r="N100" i="28"/>
  <c r="N101" i="28"/>
  <c r="M99" i="28"/>
  <c r="M100" i="28"/>
  <c r="M101" i="28"/>
  <c r="L99" i="28"/>
  <c r="L100" i="28"/>
  <c r="L101" i="28"/>
  <c r="K48" i="28"/>
  <c r="K99" i="28"/>
  <c r="K100" i="28"/>
  <c r="K101" i="28"/>
  <c r="J48" i="28"/>
  <c r="J99" i="28"/>
  <c r="J100" i="28"/>
  <c r="J101" i="28"/>
  <c r="I48" i="28"/>
  <c r="I99" i="28"/>
  <c r="I100" i="28"/>
  <c r="I101" i="28"/>
  <c r="H48" i="28"/>
  <c r="H99" i="28"/>
  <c r="H100" i="28"/>
  <c r="H101" i="28"/>
  <c r="S95" i="28"/>
  <c r="S96" i="28"/>
  <c r="S97" i="28"/>
  <c r="R95" i="28"/>
  <c r="R96" i="28"/>
  <c r="R97" i="28"/>
  <c r="Q95" i="28"/>
  <c r="Q96" i="28"/>
  <c r="Q97" i="28"/>
  <c r="P95" i="28"/>
  <c r="P96" i="28"/>
  <c r="P97" i="28"/>
  <c r="O95" i="28"/>
  <c r="O96" i="28"/>
  <c r="O97" i="28"/>
  <c r="N95" i="28"/>
  <c r="N96" i="28"/>
  <c r="N97" i="28"/>
  <c r="M95" i="28"/>
  <c r="M96" i="28"/>
  <c r="M97" i="28"/>
  <c r="L95" i="28"/>
  <c r="L96" i="28"/>
  <c r="L97" i="28"/>
  <c r="K95" i="28"/>
  <c r="K96" i="28"/>
  <c r="K97" i="28"/>
  <c r="J95" i="28"/>
  <c r="J96" i="28"/>
  <c r="J97" i="28"/>
  <c r="I95" i="28"/>
  <c r="I96" i="28"/>
  <c r="I97" i="28"/>
  <c r="H95" i="28"/>
  <c r="H96" i="28"/>
  <c r="H97" i="28"/>
  <c r="S120" i="27"/>
  <c r="S121" i="27"/>
  <c r="S122" i="27"/>
  <c r="S123" i="27"/>
  <c r="R120" i="27"/>
  <c r="R121" i="27"/>
  <c r="R122" i="27"/>
  <c r="R123" i="27"/>
  <c r="Q120" i="27"/>
  <c r="Q121" i="27"/>
  <c r="Q122" i="27"/>
  <c r="Q123" i="27"/>
  <c r="P120" i="27"/>
  <c r="P121" i="27"/>
  <c r="P122" i="27"/>
  <c r="P123" i="27"/>
  <c r="O120" i="27"/>
  <c r="O121" i="27"/>
  <c r="O122" i="27"/>
  <c r="O123" i="27"/>
  <c r="N120" i="27"/>
  <c r="N121" i="27"/>
  <c r="N122" i="27"/>
  <c r="N123" i="27"/>
  <c r="M120" i="27"/>
  <c r="M121" i="27"/>
  <c r="M122" i="27"/>
  <c r="M123" i="27"/>
  <c r="L120" i="27"/>
  <c r="L121" i="27"/>
  <c r="L122" i="27"/>
  <c r="L123" i="27"/>
  <c r="K120" i="27"/>
  <c r="K121" i="27"/>
  <c r="K122" i="27"/>
  <c r="K123" i="27"/>
  <c r="J120" i="27"/>
  <c r="J121" i="27"/>
  <c r="J122" i="27"/>
  <c r="J123" i="27"/>
  <c r="I120" i="27"/>
  <c r="I121" i="27"/>
  <c r="I122" i="27"/>
  <c r="I123" i="27"/>
  <c r="H120" i="27"/>
  <c r="H121" i="27"/>
  <c r="H122" i="27"/>
  <c r="H123" i="27"/>
  <c r="S115" i="27"/>
  <c r="S116" i="27"/>
  <c r="S117" i="27"/>
  <c r="S118" i="27"/>
  <c r="R115" i="27"/>
  <c r="R116" i="27"/>
  <c r="R117" i="27"/>
  <c r="R118" i="27"/>
  <c r="Q115" i="27"/>
  <c r="Q116" i="27"/>
  <c r="Q117" i="27"/>
  <c r="Q118" i="27"/>
  <c r="P115" i="27"/>
  <c r="P116" i="27"/>
  <c r="P117" i="27"/>
  <c r="P118" i="27"/>
  <c r="O115" i="27"/>
  <c r="O116" i="27"/>
  <c r="O117" i="27"/>
  <c r="O118" i="27"/>
  <c r="N115" i="27"/>
  <c r="N116" i="27"/>
  <c r="N117" i="27"/>
  <c r="N118" i="27"/>
  <c r="M115" i="27"/>
  <c r="M116" i="27"/>
  <c r="M117" i="27"/>
  <c r="M118" i="27"/>
  <c r="L115" i="27"/>
  <c r="L116" i="27"/>
  <c r="L117" i="27"/>
  <c r="L118" i="27"/>
  <c r="K115" i="27"/>
  <c r="K116" i="27"/>
  <c r="K117" i="27"/>
  <c r="K118" i="27"/>
  <c r="J115" i="27"/>
  <c r="J116" i="27"/>
  <c r="J117" i="27"/>
  <c r="J118" i="27"/>
  <c r="I115" i="27"/>
  <c r="I116" i="27"/>
  <c r="I117" i="27"/>
  <c r="I118" i="27"/>
  <c r="H115" i="27"/>
  <c r="H116" i="27"/>
  <c r="H117" i="27"/>
  <c r="H118" i="27"/>
  <c r="S110" i="27"/>
  <c r="S111" i="27"/>
  <c r="S112" i="27"/>
  <c r="S113" i="27"/>
  <c r="R110" i="27"/>
  <c r="R111" i="27"/>
  <c r="R112" i="27"/>
  <c r="R113" i="27"/>
  <c r="Q110" i="27"/>
  <c r="Q111" i="27"/>
  <c r="Q112" i="27"/>
  <c r="Q113" i="27"/>
  <c r="P110" i="27"/>
  <c r="P111" i="27"/>
  <c r="P112" i="27"/>
  <c r="P113" i="27"/>
  <c r="O110" i="27"/>
  <c r="O111" i="27"/>
  <c r="O112" i="27"/>
  <c r="O113" i="27"/>
  <c r="N110" i="27"/>
  <c r="N111" i="27"/>
  <c r="N112" i="27"/>
  <c r="N113" i="27"/>
  <c r="M110" i="27"/>
  <c r="M111" i="27"/>
  <c r="M112" i="27"/>
  <c r="M113" i="27"/>
  <c r="L110" i="27"/>
  <c r="L111" i="27"/>
  <c r="L112" i="27"/>
  <c r="L113" i="27"/>
  <c r="K110" i="27"/>
  <c r="K111" i="27"/>
  <c r="K112" i="27"/>
  <c r="K113" i="27"/>
  <c r="J110" i="27"/>
  <c r="J111" i="27"/>
  <c r="J112" i="27"/>
  <c r="J113" i="27"/>
  <c r="I110" i="27"/>
  <c r="I111" i="27"/>
  <c r="I112" i="27"/>
  <c r="I113" i="27"/>
  <c r="H110" i="27"/>
  <c r="H111" i="27"/>
  <c r="H112" i="27"/>
  <c r="H113" i="27"/>
  <c r="S104" i="27"/>
  <c r="S105" i="27"/>
  <c r="S106" i="27"/>
  <c r="R104" i="27"/>
  <c r="R105" i="27"/>
  <c r="R106" i="27"/>
  <c r="Q104" i="27"/>
  <c r="Q105" i="27"/>
  <c r="Q106" i="27"/>
  <c r="P104" i="27"/>
  <c r="P105" i="27"/>
  <c r="P106" i="27"/>
  <c r="O104" i="27"/>
  <c r="O105" i="27"/>
  <c r="O106" i="27"/>
  <c r="N104" i="27"/>
  <c r="N105" i="27"/>
  <c r="N106" i="27"/>
  <c r="M104" i="27"/>
  <c r="M105" i="27"/>
  <c r="M106" i="27"/>
  <c r="L104" i="27"/>
  <c r="L105" i="27"/>
  <c r="L106" i="27"/>
  <c r="K48" i="27"/>
  <c r="K104" i="27"/>
  <c r="K47" i="27"/>
  <c r="K105" i="27"/>
  <c r="K106" i="27"/>
  <c r="J48" i="27"/>
  <c r="J104" i="27"/>
  <c r="J47" i="27"/>
  <c r="J105" i="27"/>
  <c r="J106" i="27"/>
  <c r="I48" i="27"/>
  <c r="I104" i="27"/>
  <c r="I47" i="27"/>
  <c r="I105" i="27"/>
  <c r="I106" i="27"/>
  <c r="H48" i="27"/>
  <c r="H104" i="27"/>
  <c r="H47" i="27"/>
  <c r="H105" i="27"/>
  <c r="H106" i="27"/>
  <c r="S100" i="27"/>
  <c r="S101" i="27"/>
  <c r="S102" i="27"/>
  <c r="R100" i="27"/>
  <c r="R101" i="27"/>
  <c r="R102" i="27"/>
  <c r="Q100" i="27"/>
  <c r="Q101" i="27"/>
  <c r="Q102" i="27"/>
  <c r="P100" i="27"/>
  <c r="P101" i="27"/>
  <c r="P102" i="27"/>
  <c r="O100" i="27"/>
  <c r="O101" i="27"/>
  <c r="O102" i="27"/>
  <c r="N100" i="27"/>
  <c r="N101" i="27"/>
  <c r="N102" i="27"/>
  <c r="M100" i="27"/>
  <c r="M101" i="27"/>
  <c r="M102" i="27"/>
  <c r="L100" i="27"/>
  <c r="L101" i="27"/>
  <c r="L102" i="27"/>
  <c r="K49" i="27"/>
  <c r="K100" i="27"/>
  <c r="K101" i="27"/>
  <c r="K102" i="27"/>
  <c r="J49" i="27"/>
  <c r="J100" i="27"/>
  <c r="J101" i="27"/>
  <c r="J102" i="27"/>
  <c r="I49" i="27"/>
  <c r="I100" i="27"/>
  <c r="I101" i="27"/>
  <c r="I102" i="27"/>
  <c r="H49" i="27"/>
  <c r="H100" i="27"/>
  <c r="H101" i="27"/>
  <c r="H102" i="27"/>
  <c r="S96" i="27"/>
  <c r="S97" i="27"/>
  <c r="S98" i="27"/>
  <c r="R96" i="27"/>
  <c r="R97" i="27"/>
  <c r="R98" i="27"/>
  <c r="Q96" i="27"/>
  <c r="Q97" i="27"/>
  <c r="Q98" i="27"/>
  <c r="P96" i="27"/>
  <c r="P97" i="27"/>
  <c r="P98" i="27"/>
  <c r="O96" i="27"/>
  <c r="O97" i="27"/>
  <c r="O98" i="27"/>
  <c r="N96" i="27"/>
  <c r="N97" i="27"/>
  <c r="N98" i="27"/>
  <c r="M96" i="27"/>
  <c r="M97" i="27"/>
  <c r="M98" i="27"/>
  <c r="L96" i="27"/>
  <c r="L97" i="27"/>
  <c r="L98" i="27"/>
  <c r="K96" i="27"/>
  <c r="K97" i="27"/>
  <c r="K98" i="27"/>
  <c r="J96" i="27"/>
  <c r="J97" i="27"/>
  <c r="J98" i="27"/>
  <c r="I96" i="27"/>
  <c r="I97" i="27"/>
  <c r="I98" i="27"/>
  <c r="H96" i="27"/>
  <c r="H97" i="27"/>
  <c r="H98" i="27"/>
  <c r="S119" i="26"/>
  <c r="S120" i="26"/>
  <c r="S121" i="26"/>
  <c r="S122" i="26"/>
  <c r="R119" i="26"/>
  <c r="R120" i="26"/>
  <c r="R121" i="26"/>
  <c r="R122" i="26"/>
  <c r="Q119" i="26"/>
  <c r="Q120" i="26"/>
  <c r="Q121" i="26"/>
  <c r="Q122" i="26"/>
  <c r="P119" i="26"/>
  <c r="P120" i="26"/>
  <c r="P121" i="26"/>
  <c r="P122" i="26"/>
  <c r="O119" i="26"/>
  <c r="O120" i="26"/>
  <c r="O121" i="26"/>
  <c r="O122" i="26"/>
  <c r="N119" i="26"/>
  <c r="N120" i="26"/>
  <c r="N121" i="26"/>
  <c r="N122" i="26"/>
  <c r="M119" i="26"/>
  <c r="M120" i="26"/>
  <c r="M121" i="26"/>
  <c r="M122" i="26"/>
  <c r="L119" i="26"/>
  <c r="L120" i="26"/>
  <c r="L121" i="26"/>
  <c r="L122" i="26"/>
  <c r="K119" i="26"/>
  <c r="K120" i="26"/>
  <c r="K121" i="26"/>
  <c r="K122" i="26"/>
  <c r="J119" i="26"/>
  <c r="J120" i="26"/>
  <c r="J121" i="26"/>
  <c r="J122" i="26"/>
  <c r="I119" i="26"/>
  <c r="I120" i="26"/>
  <c r="I121" i="26"/>
  <c r="I122" i="26"/>
  <c r="H119" i="26"/>
  <c r="H120" i="26"/>
  <c r="H121" i="26"/>
  <c r="H122" i="26"/>
  <c r="S114" i="26"/>
  <c r="S115" i="26"/>
  <c r="S116" i="26"/>
  <c r="S117" i="26"/>
  <c r="R114" i="26"/>
  <c r="R115" i="26"/>
  <c r="R116" i="26"/>
  <c r="R117" i="26"/>
  <c r="Q114" i="26"/>
  <c r="Q115" i="26"/>
  <c r="Q116" i="26"/>
  <c r="Q117" i="26"/>
  <c r="P114" i="26"/>
  <c r="P115" i="26"/>
  <c r="P116" i="26"/>
  <c r="P117" i="26"/>
  <c r="O114" i="26"/>
  <c r="O115" i="26"/>
  <c r="O116" i="26"/>
  <c r="O117" i="26"/>
  <c r="N114" i="26"/>
  <c r="N115" i="26"/>
  <c r="N116" i="26"/>
  <c r="N117" i="26"/>
  <c r="M114" i="26"/>
  <c r="M115" i="26"/>
  <c r="M116" i="26"/>
  <c r="M117" i="26"/>
  <c r="L114" i="26"/>
  <c r="L115" i="26"/>
  <c r="L116" i="26"/>
  <c r="L117" i="26"/>
  <c r="K114" i="26"/>
  <c r="K115" i="26"/>
  <c r="K116" i="26"/>
  <c r="K117" i="26"/>
  <c r="J114" i="26"/>
  <c r="J115" i="26"/>
  <c r="J116" i="26"/>
  <c r="J117" i="26"/>
  <c r="I114" i="26"/>
  <c r="I115" i="26"/>
  <c r="I116" i="26"/>
  <c r="I117" i="26"/>
  <c r="H114" i="26"/>
  <c r="H115" i="26"/>
  <c r="H116" i="26"/>
  <c r="H117" i="26"/>
  <c r="S109" i="26"/>
  <c r="S110" i="26"/>
  <c r="S111" i="26"/>
  <c r="S112" i="26"/>
  <c r="R109" i="26"/>
  <c r="R110" i="26"/>
  <c r="R111" i="26"/>
  <c r="R112" i="26"/>
  <c r="Q109" i="26"/>
  <c r="Q110" i="26"/>
  <c r="Q111" i="26"/>
  <c r="Q112" i="26"/>
  <c r="P109" i="26"/>
  <c r="P110" i="26"/>
  <c r="P111" i="26"/>
  <c r="P112" i="26"/>
  <c r="O109" i="26"/>
  <c r="O110" i="26"/>
  <c r="O111" i="26"/>
  <c r="O112" i="26"/>
  <c r="N109" i="26"/>
  <c r="N110" i="26"/>
  <c r="N111" i="26"/>
  <c r="N112" i="26"/>
  <c r="M109" i="26"/>
  <c r="M110" i="26"/>
  <c r="M111" i="26"/>
  <c r="M112" i="26"/>
  <c r="L109" i="26"/>
  <c r="L110" i="26"/>
  <c r="L111" i="26"/>
  <c r="L112" i="26"/>
  <c r="K109" i="26"/>
  <c r="K110" i="26"/>
  <c r="K111" i="26"/>
  <c r="K112" i="26"/>
  <c r="J109" i="26"/>
  <c r="J110" i="26"/>
  <c r="J111" i="26"/>
  <c r="J112" i="26"/>
  <c r="I109" i="26"/>
  <c r="I110" i="26"/>
  <c r="I111" i="26"/>
  <c r="I112" i="26"/>
  <c r="H109" i="26"/>
  <c r="H110" i="26"/>
  <c r="H111" i="26"/>
  <c r="H112" i="26"/>
  <c r="S103" i="26"/>
  <c r="S104" i="26"/>
  <c r="S105" i="26"/>
  <c r="R103" i="26"/>
  <c r="R104" i="26"/>
  <c r="R105" i="26"/>
  <c r="Q103" i="26"/>
  <c r="Q104" i="26"/>
  <c r="Q105" i="26"/>
  <c r="P103" i="26"/>
  <c r="P104" i="26"/>
  <c r="P105" i="26"/>
  <c r="O103" i="26"/>
  <c r="O104" i="26"/>
  <c r="O105" i="26"/>
  <c r="N103" i="26"/>
  <c r="N104" i="26"/>
  <c r="N105" i="26"/>
  <c r="M103" i="26"/>
  <c r="M104" i="26"/>
  <c r="M105" i="26"/>
  <c r="L103" i="26"/>
  <c r="L104" i="26"/>
  <c r="L105" i="26"/>
  <c r="K103" i="26"/>
  <c r="K104" i="26"/>
  <c r="K105" i="26"/>
  <c r="J103" i="26"/>
  <c r="J104" i="26"/>
  <c r="J105" i="26"/>
  <c r="I103" i="26"/>
  <c r="I104" i="26"/>
  <c r="I105" i="26"/>
  <c r="H103" i="26"/>
  <c r="H104" i="26"/>
  <c r="H105" i="26"/>
  <c r="S99" i="26"/>
  <c r="S100" i="26"/>
  <c r="S101" i="26"/>
  <c r="R99" i="26"/>
  <c r="R100" i="26"/>
  <c r="R101" i="26"/>
  <c r="Q99" i="26"/>
  <c r="Q100" i="26"/>
  <c r="Q101" i="26"/>
  <c r="P99" i="26"/>
  <c r="P100" i="26"/>
  <c r="P101" i="26"/>
  <c r="O99" i="26"/>
  <c r="O100" i="26"/>
  <c r="O101" i="26"/>
  <c r="N99" i="26"/>
  <c r="N100" i="26"/>
  <c r="N101" i="26"/>
  <c r="M99" i="26"/>
  <c r="M100" i="26"/>
  <c r="M101" i="26"/>
  <c r="L99" i="26"/>
  <c r="L100" i="26"/>
  <c r="L101" i="26"/>
  <c r="K99" i="26"/>
  <c r="K100" i="26"/>
  <c r="K101" i="26"/>
  <c r="J99" i="26"/>
  <c r="J100" i="26"/>
  <c r="J101" i="26"/>
  <c r="I99" i="26"/>
  <c r="I100" i="26"/>
  <c r="I101" i="26"/>
  <c r="H99" i="26"/>
  <c r="H100" i="26"/>
  <c r="H101" i="26"/>
  <c r="S95" i="26"/>
  <c r="S96" i="26"/>
  <c r="S97" i="26"/>
  <c r="R95" i="26"/>
  <c r="R96" i="26"/>
  <c r="R97" i="26"/>
  <c r="Q95" i="26"/>
  <c r="Q96" i="26"/>
  <c r="Q97" i="26"/>
  <c r="P95" i="26"/>
  <c r="P96" i="26"/>
  <c r="P97" i="26"/>
  <c r="O95" i="26"/>
  <c r="O96" i="26"/>
  <c r="O97" i="26"/>
  <c r="N95" i="26"/>
  <c r="N96" i="26"/>
  <c r="N97" i="26"/>
  <c r="M95" i="26"/>
  <c r="M96" i="26"/>
  <c r="M97" i="26"/>
  <c r="L95" i="26"/>
  <c r="L96" i="26"/>
  <c r="L97" i="26"/>
  <c r="K95" i="26"/>
  <c r="K96" i="26"/>
  <c r="K97" i="26"/>
  <c r="J95" i="26"/>
  <c r="J96" i="26"/>
  <c r="J97" i="26"/>
  <c r="I95" i="26"/>
  <c r="I96" i="26"/>
  <c r="I97" i="26"/>
  <c r="H95" i="26"/>
  <c r="H96" i="26"/>
  <c r="H97" i="26"/>
  <c r="S120" i="24"/>
  <c r="S121" i="24"/>
  <c r="S122" i="24"/>
  <c r="S123" i="24"/>
  <c r="R120" i="24"/>
  <c r="R121" i="24"/>
  <c r="R122" i="24"/>
  <c r="R123" i="24"/>
  <c r="Q120" i="24"/>
  <c r="Q121" i="24"/>
  <c r="Q122" i="24"/>
  <c r="Q123" i="24"/>
  <c r="P120" i="24"/>
  <c r="P121" i="24"/>
  <c r="P122" i="24"/>
  <c r="P123" i="24"/>
  <c r="O120" i="24"/>
  <c r="O121" i="24"/>
  <c r="O122" i="24"/>
  <c r="O123" i="24"/>
  <c r="N120" i="24"/>
  <c r="N121" i="24"/>
  <c r="N122" i="24"/>
  <c r="N123" i="24"/>
  <c r="M120" i="24"/>
  <c r="M121" i="24"/>
  <c r="M122" i="24"/>
  <c r="M123" i="24"/>
  <c r="L120" i="24"/>
  <c r="L121" i="24"/>
  <c r="L122" i="24"/>
  <c r="L123" i="24"/>
  <c r="K120" i="24"/>
  <c r="K121" i="24"/>
  <c r="K122" i="24"/>
  <c r="K123" i="24"/>
  <c r="J120" i="24"/>
  <c r="J121" i="24"/>
  <c r="J122" i="24"/>
  <c r="J123" i="24"/>
  <c r="I120" i="24"/>
  <c r="I121" i="24"/>
  <c r="I122" i="24"/>
  <c r="I123" i="24"/>
  <c r="H120" i="24"/>
  <c r="H121" i="24"/>
  <c r="H122" i="24"/>
  <c r="H123" i="24"/>
  <c r="S115" i="24"/>
  <c r="S116" i="24"/>
  <c r="S117" i="24"/>
  <c r="S118" i="24"/>
  <c r="R115" i="24"/>
  <c r="R116" i="24"/>
  <c r="R117" i="24"/>
  <c r="R118" i="24"/>
  <c r="Q115" i="24"/>
  <c r="Q116" i="24"/>
  <c r="Q117" i="24"/>
  <c r="Q118" i="24"/>
  <c r="P115" i="24"/>
  <c r="P116" i="24"/>
  <c r="P117" i="24"/>
  <c r="P118" i="24"/>
  <c r="O115" i="24"/>
  <c r="O116" i="24"/>
  <c r="O117" i="24"/>
  <c r="O118" i="24"/>
  <c r="N115" i="24"/>
  <c r="N116" i="24"/>
  <c r="N117" i="24"/>
  <c r="N118" i="24"/>
  <c r="M115" i="24"/>
  <c r="M116" i="24"/>
  <c r="M117" i="24"/>
  <c r="M118" i="24"/>
  <c r="L115" i="24"/>
  <c r="L116" i="24"/>
  <c r="L117" i="24"/>
  <c r="L118" i="24"/>
  <c r="K115" i="24"/>
  <c r="K116" i="24"/>
  <c r="K117" i="24"/>
  <c r="K118" i="24"/>
  <c r="J115" i="24"/>
  <c r="J116" i="24"/>
  <c r="J117" i="24"/>
  <c r="J118" i="24"/>
  <c r="I115" i="24"/>
  <c r="I116" i="24"/>
  <c r="I117" i="24"/>
  <c r="I118" i="24"/>
  <c r="H115" i="24"/>
  <c r="H116" i="24"/>
  <c r="H117" i="24"/>
  <c r="H118" i="24"/>
  <c r="S110" i="24"/>
  <c r="S111" i="24"/>
  <c r="S112" i="24"/>
  <c r="S113" i="24"/>
  <c r="R110" i="24"/>
  <c r="R111" i="24"/>
  <c r="R112" i="24"/>
  <c r="R113" i="24"/>
  <c r="Q110" i="24"/>
  <c r="Q111" i="24"/>
  <c r="Q112" i="24"/>
  <c r="Q113" i="24"/>
  <c r="P110" i="24"/>
  <c r="P111" i="24"/>
  <c r="P112" i="24"/>
  <c r="P113" i="24"/>
  <c r="O110" i="24"/>
  <c r="O111" i="24"/>
  <c r="O112" i="24"/>
  <c r="O113" i="24"/>
  <c r="N110" i="24"/>
  <c r="N111" i="24"/>
  <c r="N112" i="24"/>
  <c r="N113" i="24"/>
  <c r="M110" i="24"/>
  <c r="M111" i="24"/>
  <c r="M112" i="24"/>
  <c r="M113" i="24"/>
  <c r="L110" i="24"/>
  <c r="L111" i="24"/>
  <c r="L112" i="24"/>
  <c r="L113" i="24"/>
  <c r="K110" i="24"/>
  <c r="K111" i="24"/>
  <c r="K112" i="24"/>
  <c r="K113" i="24"/>
  <c r="J110" i="24"/>
  <c r="J111" i="24"/>
  <c r="J112" i="24"/>
  <c r="J113" i="24"/>
  <c r="I110" i="24"/>
  <c r="I111" i="24"/>
  <c r="I112" i="24"/>
  <c r="I113" i="24"/>
  <c r="H110" i="24"/>
  <c r="H111" i="24"/>
  <c r="H112" i="24"/>
  <c r="H113" i="24"/>
  <c r="S104" i="24"/>
  <c r="S105" i="24"/>
  <c r="S106" i="24"/>
  <c r="R104" i="24"/>
  <c r="R105" i="24"/>
  <c r="R106" i="24"/>
  <c r="Q104" i="24"/>
  <c r="Q105" i="24"/>
  <c r="Q106" i="24"/>
  <c r="P104" i="24"/>
  <c r="P105" i="24"/>
  <c r="P106" i="24"/>
  <c r="O104" i="24"/>
  <c r="O105" i="24"/>
  <c r="O106" i="24"/>
  <c r="N104" i="24"/>
  <c r="N105" i="24"/>
  <c r="N106" i="24"/>
  <c r="M104" i="24"/>
  <c r="M105" i="24"/>
  <c r="M106" i="24"/>
  <c r="L104" i="24"/>
  <c r="L105" i="24"/>
  <c r="L106" i="24"/>
  <c r="K104" i="24"/>
  <c r="K105" i="24"/>
  <c r="K106" i="24"/>
  <c r="J104" i="24"/>
  <c r="J105" i="24"/>
  <c r="J106" i="24"/>
  <c r="I104" i="24"/>
  <c r="I105" i="24"/>
  <c r="I106" i="24"/>
  <c r="H104" i="24"/>
  <c r="H105" i="24"/>
  <c r="H106" i="24"/>
  <c r="S100" i="24"/>
  <c r="S101" i="24"/>
  <c r="S102" i="24"/>
  <c r="R100" i="24"/>
  <c r="R101" i="24"/>
  <c r="R102" i="24"/>
  <c r="Q100" i="24"/>
  <c r="Q101" i="24"/>
  <c r="Q102" i="24"/>
  <c r="P100" i="24"/>
  <c r="P101" i="24"/>
  <c r="P102" i="24"/>
  <c r="O100" i="24"/>
  <c r="O101" i="24"/>
  <c r="O102" i="24"/>
  <c r="N100" i="24"/>
  <c r="N101" i="24"/>
  <c r="N102" i="24"/>
  <c r="M100" i="24"/>
  <c r="M101" i="24"/>
  <c r="M102" i="24"/>
  <c r="L100" i="24"/>
  <c r="L101" i="24"/>
  <c r="L102" i="24"/>
  <c r="K100" i="24"/>
  <c r="K101" i="24"/>
  <c r="K102" i="24"/>
  <c r="J100" i="24"/>
  <c r="J101" i="24"/>
  <c r="J102" i="24"/>
  <c r="I100" i="24"/>
  <c r="I101" i="24"/>
  <c r="I102" i="24"/>
  <c r="H100" i="24"/>
  <c r="H101" i="24"/>
  <c r="H102" i="24"/>
  <c r="S96" i="24"/>
  <c r="S97" i="24"/>
  <c r="S98" i="24"/>
  <c r="R96" i="24"/>
  <c r="R97" i="24"/>
  <c r="R98" i="24"/>
  <c r="Q96" i="24"/>
  <c r="Q97" i="24"/>
  <c r="Q98" i="24"/>
  <c r="P96" i="24"/>
  <c r="P97" i="24"/>
  <c r="P98" i="24"/>
  <c r="O96" i="24"/>
  <c r="O97" i="24"/>
  <c r="O98" i="24"/>
  <c r="N96" i="24"/>
  <c r="N97" i="24"/>
  <c r="N98" i="24"/>
  <c r="M96" i="24"/>
  <c r="M97" i="24"/>
  <c r="M98" i="24"/>
  <c r="L96" i="24"/>
  <c r="L97" i="24"/>
  <c r="L98" i="24"/>
  <c r="K96" i="24"/>
  <c r="K97" i="24"/>
  <c r="K98" i="24"/>
  <c r="J96" i="24"/>
  <c r="J97" i="24"/>
  <c r="J98" i="24"/>
  <c r="I96" i="24"/>
  <c r="I97" i="24"/>
  <c r="I98" i="24"/>
  <c r="H96" i="24"/>
  <c r="H97" i="24"/>
  <c r="H98" i="24"/>
  <c r="S61" i="24"/>
  <c r="R61" i="24"/>
  <c r="Q61" i="24"/>
  <c r="P61" i="24"/>
  <c r="O61" i="24"/>
  <c r="N61" i="24"/>
  <c r="M61" i="24"/>
  <c r="L61" i="24"/>
  <c r="K61" i="24"/>
  <c r="J61" i="24"/>
  <c r="I61" i="24"/>
  <c r="H61" i="24"/>
  <c r="S60" i="24"/>
  <c r="R60" i="24"/>
  <c r="Q60" i="24"/>
  <c r="P60" i="24"/>
  <c r="O60" i="24"/>
  <c r="N60" i="24"/>
  <c r="M60" i="24"/>
  <c r="L60" i="24"/>
  <c r="K60" i="24"/>
  <c r="J60" i="24"/>
  <c r="I60" i="24"/>
  <c r="H60" i="24"/>
  <c r="S59" i="24"/>
  <c r="R59" i="24"/>
  <c r="Q59" i="24"/>
  <c r="P59" i="24"/>
  <c r="O59" i="24"/>
  <c r="N59" i="24"/>
  <c r="M59" i="24"/>
  <c r="L59" i="24"/>
  <c r="K59" i="24"/>
  <c r="J59" i="24"/>
  <c r="I59" i="24"/>
  <c r="H59" i="24"/>
  <c r="S60" i="26"/>
  <c r="R60" i="26"/>
  <c r="Q60" i="26"/>
  <c r="P60" i="26"/>
  <c r="O60" i="26"/>
  <c r="N60" i="26"/>
  <c r="M60" i="26"/>
  <c r="L60" i="26"/>
  <c r="K60" i="26"/>
  <c r="J60" i="26"/>
  <c r="I60" i="26"/>
  <c r="H60" i="26"/>
  <c r="S59" i="26"/>
  <c r="R59" i="26"/>
  <c r="Q59" i="26"/>
  <c r="P59" i="26"/>
  <c r="O59" i="26"/>
  <c r="N59" i="26"/>
  <c r="M59" i="26"/>
  <c r="L59" i="26"/>
  <c r="K59" i="26"/>
  <c r="J59" i="26"/>
  <c r="I59" i="26"/>
  <c r="H59" i="26"/>
  <c r="S58" i="26"/>
  <c r="R58" i="26"/>
  <c r="Q58" i="26"/>
  <c r="P58" i="26"/>
  <c r="O58" i="26"/>
  <c r="N58" i="26"/>
  <c r="M58" i="26"/>
  <c r="L58" i="26"/>
  <c r="K58" i="26"/>
  <c r="J58" i="26"/>
  <c r="I58" i="26"/>
  <c r="H58" i="26"/>
  <c r="S61" i="27"/>
  <c r="R61" i="27"/>
  <c r="Q61" i="27"/>
  <c r="P61" i="27"/>
  <c r="O61" i="27"/>
  <c r="N61" i="27"/>
  <c r="M61" i="27"/>
  <c r="L61" i="27"/>
  <c r="K61" i="27"/>
  <c r="J61" i="27"/>
  <c r="I61" i="27"/>
  <c r="H61" i="27"/>
  <c r="S60" i="27"/>
  <c r="R60" i="27"/>
  <c r="Q60" i="27"/>
  <c r="P60" i="27"/>
  <c r="O60" i="27"/>
  <c r="N60" i="27"/>
  <c r="M60" i="27"/>
  <c r="L60" i="27"/>
  <c r="K60" i="27"/>
  <c r="J60" i="27"/>
  <c r="I60" i="27"/>
  <c r="H60" i="27"/>
  <c r="S59" i="27"/>
  <c r="R59" i="27"/>
  <c r="Q59" i="27"/>
  <c r="P59" i="27"/>
  <c r="O59" i="27"/>
  <c r="N59" i="27"/>
  <c r="M59" i="27"/>
  <c r="L59" i="27"/>
  <c r="K59" i="27"/>
  <c r="J59" i="27"/>
  <c r="I59" i="27"/>
  <c r="H59" i="27"/>
  <c r="S60" i="28"/>
  <c r="R60" i="28"/>
  <c r="Q60" i="28"/>
  <c r="P60" i="28"/>
  <c r="O60" i="28"/>
  <c r="N60" i="28"/>
  <c r="M60" i="28"/>
  <c r="L60" i="28"/>
  <c r="K60" i="28"/>
  <c r="J60" i="28"/>
  <c r="I60" i="28"/>
  <c r="H60" i="28"/>
  <c r="S59" i="28"/>
  <c r="R59" i="28"/>
  <c r="Q59" i="28"/>
  <c r="P59" i="28"/>
  <c r="O59" i="28"/>
  <c r="N59" i="28"/>
  <c r="M59" i="28"/>
  <c r="L59" i="28"/>
  <c r="K59" i="28"/>
  <c r="J59" i="28"/>
  <c r="I59" i="28"/>
  <c r="H59" i="28"/>
  <c r="S58" i="28"/>
  <c r="R58" i="28"/>
  <c r="Q58" i="28"/>
  <c r="P58" i="28"/>
  <c r="O58" i="28"/>
  <c r="N58" i="28"/>
  <c r="M58" i="28"/>
  <c r="L58" i="28"/>
  <c r="K58" i="28"/>
  <c r="J58" i="28"/>
  <c r="I58" i="28"/>
  <c r="H58" i="28"/>
  <c r="S61" i="29"/>
  <c r="R61" i="29"/>
  <c r="Q61" i="29"/>
  <c r="P61" i="29"/>
  <c r="O61" i="29"/>
  <c r="N61" i="29"/>
  <c r="M61" i="29"/>
  <c r="L61" i="29"/>
  <c r="K61" i="29"/>
  <c r="J61" i="29"/>
  <c r="I61" i="29"/>
  <c r="H61" i="29"/>
  <c r="S60" i="29"/>
  <c r="R60" i="29"/>
  <c r="Q60" i="29"/>
  <c r="P60" i="29"/>
  <c r="O60" i="29"/>
  <c r="N60" i="29"/>
  <c r="M60" i="29"/>
  <c r="L60" i="29"/>
  <c r="K60" i="29"/>
  <c r="J60" i="29"/>
  <c r="I60" i="29"/>
  <c r="H60" i="29"/>
  <c r="S59" i="29"/>
  <c r="R59" i="29"/>
  <c r="Q59" i="29"/>
  <c r="P59" i="29"/>
  <c r="O59" i="29"/>
  <c r="N59" i="29"/>
  <c r="M59" i="29"/>
  <c r="L59" i="29"/>
  <c r="K59" i="29"/>
  <c r="J59" i="29"/>
  <c r="I59" i="29"/>
  <c r="H59" i="29"/>
  <c r="S61" i="30"/>
  <c r="R61" i="30"/>
  <c r="Q61" i="30"/>
  <c r="P61" i="30"/>
  <c r="O61" i="30"/>
  <c r="N61" i="30"/>
  <c r="M61" i="30"/>
  <c r="L61" i="30"/>
  <c r="K61" i="30"/>
  <c r="J61" i="30"/>
  <c r="I61" i="30"/>
  <c r="H61" i="30"/>
  <c r="S60" i="30"/>
  <c r="R60" i="30"/>
  <c r="Q60" i="30"/>
  <c r="P60" i="30"/>
  <c r="O60" i="30"/>
  <c r="N60" i="30"/>
  <c r="M60" i="30"/>
  <c r="L60" i="30"/>
  <c r="K60" i="30"/>
  <c r="J60" i="30"/>
  <c r="I60" i="30"/>
  <c r="H60" i="30"/>
  <c r="S59" i="30"/>
  <c r="R59" i="30"/>
  <c r="Q59" i="30"/>
  <c r="P59" i="30"/>
  <c r="O59" i="30"/>
  <c r="N59" i="30"/>
  <c r="M59" i="30"/>
  <c r="L59" i="30"/>
  <c r="K59" i="30"/>
  <c r="J59" i="30"/>
  <c r="I59" i="30"/>
  <c r="H59" i="30"/>
  <c r="I59" i="31"/>
  <c r="J59" i="31"/>
  <c r="K59" i="31"/>
  <c r="L59" i="31"/>
  <c r="M59" i="31"/>
  <c r="N59" i="31"/>
  <c r="O59" i="31"/>
  <c r="P59" i="31"/>
  <c r="Q59" i="31"/>
  <c r="R59" i="31"/>
  <c r="S59" i="31"/>
  <c r="I60" i="31"/>
  <c r="J60" i="31"/>
  <c r="K60" i="31"/>
  <c r="L60" i="31"/>
  <c r="M60" i="31"/>
  <c r="N60" i="31"/>
  <c r="O60" i="31"/>
  <c r="P60" i="31"/>
  <c r="Q60" i="31"/>
  <c r="R60" i="31"/>
  <c r="S60" i="31"/>
  <c r="I61" i="31"/>
  <c r="J61" i="31"/>
  <c r="K61" i="31"/>
  <c r="L61" i="31"/>
  <c r="M61" i="31"/>
  <c r="N61" i="31"/>
  <c r="O61" i="31"/>
  <c r="P61" i="31"/>
  <c r="Q61" i="31"/>
  <c r="R61" i="31"/>
  <c r="S61" i="31"/>
  <c r="H61" i="31"/>
  <c r="H60" i="31"/>
  <c r="H59" i="3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H120" i="21"/>
  <c r="H121" i="21"/>
  <c r="H122" i="21"/>
  <c r="H123" i="21"/>
  <c r="H61" i="21"/>
  <c r="H115" i="21"/>
  <c r="H116" i="21"/>
  <c r="H117" i="21"/>
  <c r="H118" i="21"/>
  <c r="H60" i="21"/>
  <c r="H110" i="21"/>
  <c r="H111" i="21"/>
  <c r="H112" i="21"/>
  <c r="H113" i="21"/>
  <c r="H59" i="21"/>
  <c r="S53" i="31"/>
  <c r="R53" i="31"/>
  <c r="Q53" i="31"/>
  <c r="P53" i="31"/>
  <c r="O53" i="31"/>
  <c r="N53" i="31"/>
  <c r="M53" i="31"/>
  <c r="L53" i="31"/>
  <c r="K53" i="31"/>
  <c r="J53" i="31"/>
  <c r="I53" i="31"/>
  <c r="H53" i="31"/>
  <c r="S52" i="31"/>
  <c r="R52" i="31"/>
  <c r="Q52" i="31"/>
  <c r="P52" i="31"/>
  <c r="O52" i="31"/>
  <c r="N52" i="31"/>
  <c r="M52" i="31"/>
  <c r="L52" i="31"/>
  <c r="K52" i="31"/>
  <c r="J52" i="31"/>
  <c r="I52" i="31"/>
  <c r="H52" i="31"/>
  <c r="S51" i="31"/>
  <c r="R51" i="31"/>
  <c r="Q51" i="31"/>
  <c r="P51" i="31"/>
  <c r="O51" i="31"/>
  <c r="N51" i="31"/>
  <c r="M51" i="31"/>
  <c r="L51" i="31"/>
  <c r="K51" i="31"/>
  <c r="J51" i="31"/>
  <c r="I51" i="31"/>
  <c r="H51" i="31"/>
  <c r="S53" i="30"/>
  <c r="R53" i="30"/>
  <c r="Q53" i="30"/>
  <c r="P53" i="30"/>
  <c r="O53" i="30"/>
  <c r="N53" i="30"/>
  <c r="M53" i="30"/>
  <c r="L53" i="30"/>
  <c r="K53" i="30"/>
  <c r="J53" i="30"/>
  <c r="I53" i="30"/>
  <c r="H53" i="30"/>
  <c r="S52" i="30"/>
  <c r="R52" i="30"/>
  <c r="Q52" i="30"/>
  <c r="P52" i="30"/>
  <c r="O52" i="30"/>
  <c r="N52" i="30"/>
  <c r="M52" i="30"/>
  <c r="L52" i="30"/>
  <c r="K52" i="30"/>
  <c r="J52" i="30"/>
  <c r="I52" i="30"/>
  <c r="H52" i="30"/>
  <c r="S51" i="30"/>
  <c r="R51" i="30"/>
  <c r="Q51" i="30"/>
  <c r="P51" i="30"/>
  <c r="O51" i="30"/>
  <c r="N51" i="30"/>
  <c r="M51" i="30"/>
  <c r="L51" i="30"/>
  <c r="K51" i="30"/>
  <c r="J51" i="30"/>
  <c r="I51" i="30"/>
  <c r="H51" i="30"/>
  <c r="S53" i="29"/>
  <c r="R53" i="29"/>
  <c r="Q53" i="29"/>
  <c r="P53" i="29"/>
  <c r="O53" i="29"/>
  <c r="N53" i="29"/>
  <c r="M53" i="29"/>
  <c r="L53" i="29"/>
  <c r="K53" i="29"/>
  <c r="J53" i="29"/>
  <c r="I53" i="29"/>
  <c r="H53" i="29"/>
  <c r="S52" i="29"/>
  <c r="R52" i="29"/>
  <c r="Q52" i="29"/>
  <c r="P52" i="29"/>
  <c r="O52" i="29"/>
  <c r="N52" i="29"/>
  <c r="M52" i="29"/>
  <c r="L52" i="29"/>
  <c r="K52" i="29"/>
  <c r="J52" i="29"/>
  <c r="I52" i="29"/>
  <c r="H52" i="29"/>
  <c r="S51" i="29"/>
  <c r="R51" i="29"/>
  <c r="Q51" i="29"/>
  <c r="P51" i="29"/>
  <c r="O51" i="29"/>
  <c r="N51" i="29"/>
  <c r="M51" i="29"/>
  <c r="L51" i="29"/>
  <c r="K51" i="29"/>
  <c r="J51" i="29"/>
  <c r="I51" i="29"/>
  <c r="H51" i="29"/>
  <c r="S52" i="28"/>
  <c r="R52" i="28"/>
  <c r="Q52" i="28"/>
  <c r="P52" i="28"/>
  <c r="O52" i="28"/>
  <c r="N52" i="28"/>
  <c r="M52" i="28"/>
  <c r="L52" i="28"/>
  <c r="K52" i="28"/>
  <c r="J52" i="28"/>
  <c r="I52" i="28"/>
  <c r="H52" i="28"/>
  <c r="S51" i="28"/>
  <c r="R51" i="28"/>
  <c r="Q51" i="28"/>
  <c r="P51" i="28"/>
  <c r="O51" i="28"/>
  <c r="N51" i="28"/>
  <c r="M51" i="28"/>
  <c r="L51" i="28"/>
  <c r="K51" i="28"/>
  <c r="J51" i="28"/>
  <c r="I51" i="28"/>
  <c r="H51" i="28"/>
  <c r="S50" i="28"/>
  <c r="R50" i="28"/>
  <c r="Q50" i="28"/>
  <c r="P50" i="28"/>
  <c r="O50" i="28"/>
  <c r="N50" i="28"/>
  <c r="M50" i="28"/>
  <c r="L50" i="28"/>
  <c r="K50" i="28"/>
  <c r="J50" i="28"/>
  <c r="I50" i="28"/>
  <c r="H50" i="28"/>
  <c r="S53" i="27"/>
  <c r="R53" i="27"/>
  <c r="Q53" i="27"/>
  <c r="P53" i="27"/>
  <c r="O53" i="27"/>
  <c r="N53" i="27"/>
  <c r="M53" i="27"/>
  <c r="L53" i="27"/>
  <c r="K53" i="27"/>
  <c r="J53" i="27"/>
  <c r="I53" i="27"/>
  <c r="H53" i="27"/>
  <c r="S52" i="27"/>
  <c r="R52" i="27"/>
  <c r="Q52" i="27"/>
  <c r="P52" i="27"/>
  <c r="O52" i="27"/>
  <c r="N52" i="27"/>
  <c r="M52" i="27"/>
  <c r="L52" i="27"/>
  <c r="K52" i="27"/>
  <c r="J52" i="27"/>
  <c r="I52" i="27"/>
  <c r="H52" i="27"/>
  <c r="S51" i="27"/>
  <c r="R51" i="27"/>
  <c r="Q51" i="27"/>
  <c r="P51" i="27"/>
  <c r="O51" i="27"/>
  <c r="N51" i="27"/>
  <c r="M51" i="27"/>
  <c r="L51" i="27"/>
  <c r="K51" i="27"/>
  <c r="J51" i="27"/>
  <c r="I51" i="27"/>
  <c r="H51" i="27"/>
  <c r="S52" i="26"/>
  <c r="R52" i="26"/>
  <c r="Q52" i="26"/>
  <c r="P52" i="26"/>
  <c r="O52" i="26"/>
  <c r="N52" i="26"/>
  <c r="M52" i="26"/>
  <c r="L52" i="26"/>
  <c r="K52" i="26"/>
  <c r="J52" i="26"/>
  <c r="I52" i="26"/>
  <c r="H52" i="26"/>
  <c r="S51" i="26"/>
  <c r="R51" i="26"/>
  <c r="Q51" i="26"/>
  <c r="P51" i="26"/>
  <c r="O51" i="26"/>
  <c r="N51" i="26"/>
  <c r="M51" i="26"/>
  <c r="L51" i="26"/>
  <c r="K51" i="26"/>
  <c r="J51" i="26"/>
  <c r="I51" i="26"/>
  <c r="H51" i="26"/>
  <c r="S50" i="26"/>
  <c r="R50" i="26"/>
  <c r="Q50" i="26"/>
  <c r="P50" i="26"/>
  <c r="O50" i="26"/>
  <c r="N50" i="26"/>
  <c r="M50" i="26"/>
  <c r="L50" i="26"/>
  <c r="K50" i="26"/>
  <c r="J50" i="26"/>
  <c r="I50" i="26"/>
  <c r="H50" i="26"/>
  <c r="S53" i="24"/>
  <c r="R53" i="24"/>
  <c r="Q53" i="24"/>
  <c r="P53" i="24"/>
  <c r="O53" i="24"/>
  <c r="N53" i="24"/>
  <c r="M53" i="24"/>
  <c r="L53" i="24"/>
  <c r="K53" i="24"/>
  <c r="J53" i="24"/>
  <c r="I53" i="24"/>
  <c r="H53" i="24"/>
  <c r="S52" i="24"/>
  <c r="R52" i="24"/>
  <c r="Q52" i="24"/>
  <c r="P52" i="24"/>
  <c r="O52" i="24"/>
  <c r="N52" i="24"/>
  <c r="M52" i="24"/>
  <c r="L52" i="24"/>
  <c r="K52" i="24"/>
  <c r="J52" i="24"/>
  <c r="I52" i="24"/>
  <c r="H52" i="24"/>
  <c r="S51" i="24"/>
  <c r="R51" i="24"/>
  <c r="Q51" i="24"/>
  <c r="P51" i="24"/>
  <c r="O51" i="24"/>
  <c r="N51" i="24"/>
  <c r="M51" i="24"/>
  <c r="L51" i="24"/>
  <c r="K51" i="24"/>
  <c r="J51" i="24"/>
  <c r="I51" i="24"/>
  <c r="H51" i="24"/>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H104" i="21"/>
  <c r="H105" i="21"/>
  <c r="H106" i="21"/>
  <c r="H53" i="21"/>
  <c r="H100" i="21"/>
  <c r="H101" i="21"/>
  <c r="H102" i="21"/>
  <c r="H52" i="21"/>
  <c r="H96" i="21"/>
  <c r="H97" i="21"/>
  <c r="H98" i="21"/>
  <c r="H51" i="21"/>
  <c r="I120" i="22"/>
  <c r="J120" i="22"/>
  <c r="K120" i="22"/>
  <c r="L120" i="22"/>
  <c r="M120" i="22"/>
  <c r="N120" i="22"/>
  <c r="O120" i="22"/>
  <c r="P120" i="22"/>
  <c r="Q120" i="22"/>
  <c r="R120" i="22"/>
  <c r="S120" i="22"/>
  <c r="I121" i="22"/>
  <c r="J121" i="22"/>
  <c r="K121" i="22"/>
  <c r="L121" i="22"/>
  <c r="M121" i="22"/>
  <c r="N121" i="22"/>
  <c r="O121" i="22"/>
  <c r="P121" i="22"/>
  <c r="Q121" i="22"/>
  <c r="R121" i="22"/>
  <c r="S121" i="22"/>
  <c r="I115" i="22"/>
  <c r="J115" i="22"/>
  <c r="K115" i="22"/>
  <c r="L115" i="22"/>
  <c r="M115" i="22"/>
  <c r="N115" i="22"/>
  <c r="O115" i="22"/>
  <c r="P115" i="22"/>
  <c r="Q115" i="22"/>
  <c r="R115" i="22"/>
  <c r="S115" i="22"/>
  <c r="I116" i="22"/>
  <c r="J116" i="22"/>
  <c r="K116" i="22"/>
  <c r="L116" i="22"/>
  <c r="M116" i="22"/>
  <c r="N116" i="22"/>
  <c r="O116" i="22"/>
  <c r="P116" i="22"/>
  <c r="Q116" i="22"/>
  <c r="R116" i="22"/>
  <c r="S116" i="22"/>
  <c r="I110" i="22"/>
  <c r="J110" i="22"/>
  <c r="K110" i="22"/>
  <c r="L110" i="22"/>
  <c r="M110" i="22"/>
  <c r="N110" i="22"/>
  <c r="O110" i="22"/>
  <c r="P110" i="22"/>
  <c r="Q110" i="22"/>
  <c r="R110" i="22"/>
  <c r="S110" i="22"/>
  <c r="I111" i="22"/>
  <c r="J111" i="22"/>
  <c r="K111" i="22"/>
  <c r="L111" i="22"/>
  <c r="M111" i="22"/>
  <c r="N111" i="22"/>
  <c r="O111" i="22"/>
  <c r="P111" i="22"/>
  <c r="Q111" i="22"/>
  <c r="R111" i="22"/>
  <c r="S111" i="22"/>
  <c r="I104" i="22"/>
  <c r="J104" i="22"/>
  <c r="K104" i="22"/>
  <c r="L104" i="22"/>
  <c r="M104" i="22"/>
  <c r="N104" i="22"/>
  <c r="O104" i="22"/>
  <c r="P104" i="22"/>
  <c r="Q104" i="22"/>
  <c r="R104" i="22"/>
  <c r="S104" i="22"/>
  <c r="I105" i="22"/>
  <c r="J105" i="22"/>
  <c r="K105" i="22"/>
  <c r="L105" i="22"/>
  <c r="M105" i="22"/>
  <c r="N105" i="22"/>
  <c r="O105" i="22"/>
  <c r="P105" i="22"/>
  <c r="Q105" i="22"/>
  <c r="R105" i="22"/>
  <c r="S105" i="22"/>
  <c r="I100" i="22"/>
  <c r="J100" i="22"/>
  <c r="K100" i="22"/>
  <c r="L100" i="22"/>
  <c r="M100" i="22"/>
  <c r="N100" i="22"/>
  <c r="O100" i="22"/>
  <c r="P100" i="22"/>
  <c r="Q100" i="22"/>
  <c r="R100" i="22"/>
  <c r="S100" i="22"/>
  <c r="I101" i="22"/>
  <c r="J101" i="22"/>
  <c r="K101" i="22"/>
  <c r="L101" i="22"/>
  <c r="M101" i="22"/>
  <c r="N101" i="22"/>
  <c r="O101" i="22"/>
  <c r="P101" i="22"/>
  <c r="Q101" i="22"/>
  <c r="R101" i="22"/>
  <c r="S101" i="22"/>
  <c r="I102" i="22"/>
  <c r="J102" i="22"/>
  <c r="K102" i="22"/>
  <c r="L102" i="22"/>
  <c r="M102" i="22"/>
  <c r="N102" i="22"/>
  <c r="O102" i="22"/>
  <c r="P102" i="22"/>
  <c r="Q102" i="22"/>
  <c r="R102" i="22"/>
  <c r="S102" i="22"/>
  <c r="I96" i="22"/>
  <c r="J96" i="22"/>
  <c r="K96" i="22"/>
  <c r="L96" i="22"/>
  <c r="M96" i="22"/>
  <c r="N96" i="22"/>
  <c r="O96" i="22"/>
  <c r="P96" i="22"/>
  <c r="Q96" i="22"/>
  <c r="R96" i="22"/>
  <c r="S96" i="22"/>
  <c r="I97" i="22"/>
  <c r="J97" i="22"/>
  <c r="K97" i="22"/>
  <c r="L97" i="22"/>
  <c r="M97" i="22"/>
  <c r="N97" i="22"/>
  <c r="O97" i="22"/>
  <c r="P97" i="22"/>
  <c r="Q97" i="22"/>
  <c r="R97" i="22"/>
  <c r="S97" i="22"/>
  <c r="I98" i="22"/>
  <c r="J98" i="22"/>
  <c r="K98" i="22"/>
  <c r="L98" i="22"/>
  <c r="M98" i="22"/>
  <c r="N98" i="22"/>
  <c r="O98" i="22"/>
  <c r="P98" i="22"/>
  <c r="Q98" i="22"/>
  <c r="R98" i="22"/>
  <c r="S98" i="22"/>
  <c r="H105" i="22"/>
  <c r="H104" i="22"/>
  <c r="H101" i="22"/>
  <c r="H100" i="22"/>
  <c r="H97" i="22"/>
  <c r="H96" i="22"/>
  <c r="H121" i="22"/>
  <c r="H120" i="22"/>
  <c r="H116" i="22"/>
  <c r="H115" i="22"/>
  <c r="H111" i="22"/>
  <c r="H110" i="22"/>
  <c r="I112" i="22"/>
  <c r="J112" i="22"/>
  <c r="K112" i="22"/>
  <c r="L112" i="22"/>
  <c r="M112" i="22"/>
  <c r="N112" i="22"/>
  <c r="O112" i="22"/>
  <c r="P112" i="22"/>
  <c r="Q112" i="22"/>
  <c r="R112" i="22"/>
  <c r="S112" i="22"/>
  <c r="I113" i="22"/>
  <c r="J113" i="22"/>
  <c r="K113" i="22"/>
  <c r="L113" i="22"/>
  <c r="M113" i="22"/>
  <c r="N113" i="22"/>
  <c r="O113" i="22"/>
  <c r="P113" i="22"/>
  <c r="Q113" i="22"/>
  <c r="R113" i="22"/>
  <c r="S113" i="22"/>
  <c r="I117" i="22"/>
  <c r="J117" i="22"/>
  <c r="K117" i="22"/>
  <c r="L117" i="22"/>
  <c r="M117" i="22"/>
  <c r="N117" i="22"/>
  <c r="O117" i="22"/>
  <c r="P117" i="22"/>
  <c r="Q117" i="22"/>
  <c r="R117" i="22"/>
  <c r="S117" i="22"/>
  <c r="I118" i="22"/>
  <c r="J118" i="22"/>
  <c r="K118" i="22"/>
  <c r="L118" i="22"/>
  <c r="M118" i="22"/>
  <c r="N118" i="22"/>
  <c r="O118" i="22"/>
  <c r="P118" i="22"/>
  <c r="Q118" i="22"/>
  <c r="R118" i="22"/>
  <c r="S118" i="22"/>
  <c r="I122" i="22"/>
  <c r="J122" i="22"/>
  <c r="K122" i="22"/>
  <c r="L122" i="22"/>
  <c r="M122" i="22"/>
  <c r="N122" i="22"/>
  <c r="O122" i="22"/>
  <c r="P122" i="22"/>
  <c r="Q122" i="22"/>
  <c r="R122" i="22"/>
  <c r="S122" i="22"/>
  <c r="I123" i="22"/>
  <c r="J123" i="22"/>
  <c r="K123" i="22"/>
  <c r="L123" i="22"/>
  <c r="M123" i="22"/>
  <c r="N123" i="22"/>
  <c r="O123" i="22"/>
  <c r="P123" i="22"/>
  <c r="Q123" i="22"/>
  <c r="R123" i="22"/>
  <c r="S123" i="22"/>
  <c r="I106" i="22"/>
  <c r="J106" i="22"/>
  <c r="K106" i="22"/>
  <c r="L106" i="22"/>
  <c r="M106" i="22"/>
  <c r="N106" i="22"/>
  <c r="O106" i="22"/>
  <c r="P106" i="22"/>
  <c r="Q106" i="22"/>
  <c r="R106" i="22"/>
  <c r="S106" i="22"/>
  <c r="H102" i="22"/>
  <c r="H106" i="22"/>
  <c r="H98" i="22"/>
  <c r="E42" i="18"/>
  <c r="E43" i="18"/>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125" i="18"/>
  <c r="H124" i="18"/>
  <c r="H123" i="18"/>
  <c r="H41" i="24"/>
  <c r="I41" i="24"/>
  <c r="J41" i="24"/>
  <c r="K41" i="24"/>
  <c r="H36"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J41" i="22"/>
  <c r="K41" i="22"/>
  <c r="H45" i="22"/>
  <c r="I45" i="22"/>
  <c r="J45" i="22"/>
  <c r="K45" i="22"/>
  <c r="L45" i="22"/>
  <c r="M45" i="22"/>
  <c r="N45" i="22"/>
  <c r="O45" i="22"/>
  <c r="P45" i="22"/>
  <c r="Q45" i="22"/>
  <c r="R45" i="22"/>
  <c r="S45" i="22"/>
  <c r="B31" i="22"/>
  <c r="H59" i="18"/>
  <c r="H40" i="22"/>
  <c r="J40" i="22"/>
  <c r="K40" i="22"/>
  <c r="H44" i="22"/>
  <c r="I44" i="22"/>
  <c r="J44" i="22"/>
  <c r="K44" i="22"/>
  <c r="L44" i="22"/>
  <c r="M44" i="22"/>
  <c r="N44" i="22"/>
  <c r="O44" i="22"/>
  <c r="P44" i="22"/>
  <c r="Q44" i="22"/>
  <c r="R44" i="22"/>
  <c r="S44" i="22"/>
  <c r="B30" i="22"/>
  <c r="H58" i="18"/>
  <c r="L43" i="22"/>
  <c r="M43" i="22"/>
  <c r="N43" i="22"/>
  <c r="O43" i="22"/>
  <c r="P43" i="22"/>
  <c r="Q43" i="22"/>
  <c r="R43" i="22"/>
  <c r="S43"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H122" i="18"/>
  <c r="H121" i="18"/>
  <c r="B27" i="24"/>
  <c r="H89" i="18"/>
  <c r="B26" i="24"/>
  <c r="H88" i="18"/>
  <c r="B27" i="22"/>
  <c r="H56" i="18"/>
  <c r="B26" i="22"/>
  <c r="H55" i="18"/>
  <c r="H54" i="18"/>
  <c r="B26" i="21"/>
  <c r="H22" i="18"/>
  <c r="E38" i="18"/>
  <c r="F22" i="18"/>
  <c r="B27" i="21"/>
  <c r="H23" i="18"/>
  <c r="E39" i="18"/>
  <c r="F23" i="18"/>
  <c r="B18" i="9"/>
  <c r="E37" i="18"/>
  <c r="F21" i="18"/>
  <c r="M29" i="18"/>
  <c r="M30" i="18"/>
  <c r="M31" i="18"/>
  <c r="M32" i="18"/>
  <c r="M33" i="18"/>
  <c r="M28" i="18"/>
  <c r="C8" i="9"/>
  <c r="B8" i="9"/>
  <c r="C5" i="9"/>
  <c r="B25" i="31"/>
  <c r="B25" i="30"/>
  <c r="B25" i="29"/>
  <c r="B25" i="28"/>
  <c r="B25" i="27"/>
  <c r="L45" i="21"/>
  <c r="M45" i="21"/>
  <c r="N45" i="21"/>
  <c r="O45" i="21"/>
  <c r="P45" i="21"/>
  <c r="Q45" i="21"/>
  <c r="R45" i="21"/>
  <c r="S45" i="21"/>
  <c r="B31" i="21"/>
  <c r="L44" i="21"/>
  <c r="M44" i="21"/>
  <c r="N44" i="21"/>
  <c r="O44" i="21"/>
  <c r="P44" i="21"/>
  <c r="Q44" i="21"/>
  <c r="R44" i="21"/>
  <c r="S44" i="21"/>
  <c r="B30" i="21"/>
  <c r="L43" i="21"/>
  <c r="M43" i="21"/>
  <c r="N43" i="21"/>
  <c r="O43" i="21"/>
  <c r="P43" i="21"/>
  <c r="Q43" i="21"/>
  <c r="R43" i="21"/>
  <c r="S43" i="21"/>
  <c r="B29" i="21"/>
  <c r="AF62" i="18"/>
  <c r="AG62" i="18"/>
  <c r="AF63" i="18"/>
  <c r="AG63" i="18"/>
  <c r="H51" i="22"/>
  <c r="I51" i="22"/>
  <c r="J51" i="22"/>
  <c r="K51" i="22"/>
  <c r="L51" i="22"/>
  <c r="M51" i="22"/>
  <c r="N51" i="22"/>
  <c r="O51" i="22"/>
  <c r="P51" i="22"/>
  <c r="Q51" i="22"/>
  <c r="R51" i="22"/>
  <c r="S51" i="22"/>
  <c r="B48" i="22"/>
  <c r="F50" i="18"/>
  <c r="AJ61" i="18"/>
  <c r="AJ63" i="18"/>
  <c r="AL61" i="18"/>
  <c r="AL63" i="18"/>
  <c r="H52" i="22"/>
  <c r="I52" i="22"/>
  <c r="J52" i="22"/>
  <c r="K52" i="22"/>
  <c r="L52" i="22"/>
  <c r="M52" i="22"/>
  <c r="N52" i="22"/>
  <c r="O52" i="22"/>
  <c r="P52" i="22"/>
  <c r="Q52" i="22"/>
  <c r="R52" i="22"/>
  <c r="S52" i="22"/>
  <c r="B49" i="22"/>
  <c r="F51" i="18"/>
  <c r="AO61" i="18"/>
  <c r="AO62" i="18"/>
  <c r="AP61" i="18"/>
  <c r="AP62" i="18"/>
  <c r="H53" i="22"/>
  <c r="I53" i="22"/>
  <c r="J53" i="22"/>
  <c r="K53" i="22"/>
  <c r="L53" i="22"/>
  <c r="M53" i="22"/>
  <c r="N53" i="22"/>
  <c r="O53" i="22"/>
  <c r="P53" i="22"/>
  <c r="Q53" i="22"/>
  <c r="R53" i="22"/>
  <c r="S53" i="22"/>
  <c r="B50" i="22"/>
  <c r="F52" i="18"/>
  <c r="B45" i="22"/>
  <c r="F47" i="18"/>
  <c r="O48" i="18"/>
  <c r="B46" i="22"/>
  <c r="F48" i="18"/>
  <c r="O49" i="18"/>
  <c r="B47" i="22"/>
  <c r="F49" i="18"/>
  <c r="O50" i="18"/>
  <c r="AF95" i="18"/>
  <c r="AG95" i="18"/>
  <c r="AF96" i="18"/>
  <c r="AG96" i="18"/>
  <c r="B48" i="24"/>
  <c r="F83" i="18"/>
  <c r="AJ94" i="18"/>
  <c r="AJ96" i="18"/>
  <c r="AL94" i="18"/>
  <c r="AL96" i="18"/>
  <c r="B49" i="24"/>
  <c r="F84" i="18"/>
  <c r="AO94" i="18"/>
  <c r="AO95" i="18"/>
  <c r="AP94" i="18"/>
  <c r="AP95" i="18"/>
  <c r="B50" i="24"/>
  <c r="F85" i="18"/>
  <c r="B45" i="24"/>
  <c r="F80" i="18"/>
  <c r="O81" i="18"/>
  <c r="B46" i="24"/>
  <c r="F81" i="18"/>
  <c r="O82" i="18"/>
  <c r="B47" i="24"/>
  <c r="F82" i="18"/>
  <c r="O83" i="18"/>
  <c r="AF128" i="18"/>
  <c r="AG128" i="18"/>
  <c r="AF129" i="18"/>
  <c r="AG129" i="18"/>
  <c r="F116" i="18"/>
  <c r="AJ127" i="18"/>
  <c r="AJ129" i="18"/>
  <c r="AL127" i="18"/>
  <c r="AL129" i="18"/>
  <c r="F117" i="18"/>
  <c r="AO127" i="18"/>
  <c r="AO128" i="18"/>
  <c r="AP127" i="18"/>
  <c r="AP128" i="18"/>
  <c r="F118" i="18"/>
  <c r="F113" i="18"/>
  <c r="O114" i="18"/>
  <c r="F114" i="18"/>
  <c r="O115" i="18"/>
  <c r="F115" i="18"/>
  <c r="O116" i="18"/>
  <c r="AF161" i="18"/>
  <c r="AG161" i="18"/>
  <c r="AF162" i="18"/>
  <c r="AG162" i="18"/>
  <c r="B48" i="26"/>
  <c r="F149" i="18"/>
  <c r="AJ160" i="18"/>
  <c r="AJ162" i="18"/>
  <c r="AL160" i="18"/>
  <c r="AL162" i="18"/>
  <c r="B49" i="26"/>
  <c r="F150" i="18"/>
  <c r="AO160" i="18"/>
  <c r="AO161" i="18"/>
  <c r="AP160" i="18"/>
  <c r="AP161" i="18"/>
  <c r="B50" i="26"/>
  <c r="F151" i="18"/>
  <c r="B45" i="26"/>
  <c r="F146" i="18"/>
  <c r="O147" i="18"/>
  <c r="B46" i="26"/>
  <c r="F147" i="18"/>
  <c r="O148" i="18"/>
  <c r="B47" i="26"/>
  <c r="F148" i="18"/>
  <c r="O149" i="18"/>
  <c r="AF194" i="18"/>
  <c r="AG194" i="18"/>
  <c r="AF195" i="18"/>
  <c r="AG195" i="18"/>
  <c r="B48" i="27"/>
  <c r="F182" i="18"/>
  <c r="AJ193" i="18"/>
  <c r="AJ195" i="18"/>
  <c r="AL193" i="18"/>
  <c r="AL195" i="18"/>
  <c r="B49" i="27"/>
  <c r="F183" i="18"/>
  <c r="AO193" i="18"/>
  <c r="AO194" i="18"/>
  <c r="AP193" i="18"/>
  <c r="AP194" i="18"/>
  <c r="B50" i="27"/>
  <c r="F184" i="18"/>
  <c r="B45" i="27"/>
  <c r="F179" i="18"/>
  <c r="O180" i="18"/>
  <c r="B46" i="27"/>
  <c r="F180" i="18"/>
  <c r="O181" i="18"/>
  <c r="B47" i="27"/>
  <c r="F181" i="18"/>
  <c r="O182" i="18"/>
  <c r="AF227" i="18"/>
  <c r="AG227" i="18"/>
  <c r="AF228" i="18"/>
  <c r="AG228" i="18"/>
  <c r="B48" i="28"/>
  <c r="F215" i="18"/>
  <c r="AJ226" i="18"/>
  <c r="AJ228" i="18"/>
  <c r="AL226" i="18"/>
  <c r="AL228" i="18"/>
  <c r="B49" i="28"/>
  <c r="F216" i="18"/>
  <c r="AO226" i="18"/>
  <c r="AO227" i="18"/>
  <c r="AP226" i="18"/>
  <c r="AP227" i="18"/>
  <c r="B50" i="28"/>
  <c r="F217" i="18"/>
  <c r="B45" i="28"/>
  <c r="F212" i="18"/>
  <c r="O213" i="18"/>
  <c r="B46" i="28"/>
  <c r="F213" i="18"/>
  <c r="O214" i="18"/>
  <c r="B47" i="28"/>
  <c r="F214" i="18"/>
  <c r="O215" i="18"/>
  <c r="AF260" i="18"/>
  <c r="AG260" i="18"/>
  <c r="AF261" i="18"/>
  <c r="AG261" i="18"/>
  <c r="B48" i="29"/>
  <c r="F248" i="18"/>
  <c r="AJ259" i="18"/>
  <c r="AJ261" i="18"/>
  <c r="AL259" i="18"/>
  <c r="AL261" i="18"/>
  <c r="B49" i="29"/>
  <c r="F249" i="18"/>
  <c r="AO259" i="18"/>
  <c r="AO260" i="18"/>
  <c r="AP259" i="18"/>
  <c r="AP260" i="18"/>
  <c r="B50" i="29"/>
  <c r="F250" i="18"/>
  <c r="B45" i="29"/>
  <c r="F245" i="18"/>
  <c r="O246" i="18"/>
  <c r="B46" i="29"/>
  <c r="F246" i="18"/>
  <c r="O247" i="18"/>
  <c r="B47" i="29"/>
  <c r="F247" i="18"/>
  <c r="O248" i="18"/>
  <c r="AF293" i="18"/>
  <c r="AG293" i="18"/>
  <c r="AF294" i="18"/>
  <c r="AG294" i="18"/>
  <c r="B48" i="30"/>
  <c r="F281" i="18"/>
  <c r="AJ292" i="18"/>
  <c r="AJ294" i="18"/>
  <c r="AL292" i="18"/>
  <c r="AL294" i="18"/>
  <c r="B49" i="30"/>
  <c r="F282" i="18"/>
  <c r="AO292" i="18"/>
  <c r="AO293" i="18"/>
  <c r="AP292" i="18"/>
  <c r="AP293" i="18"/>
  <c r="B50" i="30"/>
  <c r="F283" i="18"/>
  <c r="B45" i="30"/>
  <c r="F278" i="18"/>
  <c r="O279" i="18"/>
  <c r="B46" i="30"/>
  <c r="F279" i="18"/>
  <c r="O280" i="18"/>
  <c r="B47" i="30"/>
  <c r="F280" i="18"/>
  <c r="O281" i="18"/>
  <c r="AF326" i="18"/>
  <c r="AG326" i="18"/>
  <c r="AF327" i="18"/>
  <c r="AG327" i="18"/>
  <c r="B48" i="31"/>
  <c r="F314" i="18"/>
  <c r="AJ325" i="18"/>
  <c r="AJ327" i="18"/>
  <c r="AL325" i="18"/>
  <c r="AL327" i="18"/>
  <c r="B49" i="31"/>
  <c r="F315" i="18"/>
  <c r="AO325" i="18"/>
  <c r="AO326" i="18"/>
  <c r="AP325" i="18"/>
  <c r="AP326" i="18"/>
  <c r="B50" i="31"/>
  <c r="F316" i="18"/>
  <c r="B45" i="31"/>
  <c r="F311" i="18"/>
  <c r="O312" i="18"/>
  <c r="B46" i="31"/>
  <c r="F312" i="18"/>
  <c r="O313" i="18"/>
  <c r="B47" i="31"/>
  <c r="F313" i="18"/>
  <c r="O314" i="18"/>
  <c r="B45" i="21"/>
  <c r="F14" i="18"/>
  <c r="O15" i="18"/>
  <c r="B48" i="21"/>
  <c r="F17" i="18"/>
  <c r="AF29" i="18"/>
  <c r="AG29" i="18"/>
  <c r="AF30" i="18"/>
  <c r="AG30" i="18"/>
  <c r="AC28" i="18"/>
  <c r="AC29" i="18"/>
  <c r="AC30" i="18"/>
  <c r="AU28" i="18" a="1"/>
  <c r="AU28" i="18"/>
  <c r="AV28" i="18"/>
  <c r="AW28" i="18"/>
  <c r="O29" i="18"/>
  <c r="P15" i="18"/>
  <c r="B49" i="21"/>
  <c r="F18" i="18"/>
  <c r="AJ28" i="18"/>
  <c r="AJ30" i="18"/>
  <c r="AL28" i="18"/>
  <c r="AL30" i="18"/>
  <c r="AZ28" i="18" a="1"/>
  <c r="AZ28" i="18"/>
  <c r="BA28" i="18"/>
  <c r="BB28" i="18"/>
  <c r="P29" i="18"/>
  <c r="Q15" i="18"/>
  <c r="B50" i="21"/>
  <c r="AO28" i="18"/>
  <c r="AO29" i="18"/>
  <c r="AP28" i="18"/>
  <c r="AP29" i="18"/>
  <c r="BE28" i="18" a="1"/>
  <c r="BE28" i="18"/>
  <c r="BF28" i="18"/>
  <c r="BG28" i="18"/>
  <c r="Q29" i="18"/>
  <c r="R15" i="18"/>
  <c r="B46" i="21"/>
  <c r="F15" i="18"/>
  <c r="O16" i="18"/>
  <c r="AU29" i="18"/>
  <c r="AV29" i="18"/>
  <c r="AW29" i="18"/>
  <c r="O30" i="18"/>
  <c r="P16" i="18"/>
  <c r="AZ29" i="18"/>
  <c r="BA29" i="18"/>
  <c r="BB29" i="18"/>
  <c r="P30" i="18"/>
  <c r="Q16" i="18"/>
  <c r="BE29" i="18"/>
  <c r="BF29" i="18"/>
  <c r="BG29" i="18"/>
  <c r="Q30" i="18"/>
  <c r="R16" i="18"/>
  <c r="B47" i="21"/>
  <c r="F16" i="18"/>
  <c r="O17" i="18"/>
  <c r="AU30" i="18"/>
  <c r="AV30" i="18"/>
  <c r="AW30" i="18"/>
  <c r="O31" i="18"/>
  <c r="P17" i="18"/>
  <c r="AZ30" i="18"/>
  <c r="BA30" i="18"/>
  <c r="BB30" i="18"/>
  <c r="P31" i="18"/>
  <c r="Q17" i="18"/>
  <c r="BE30" i="18"/>
  <c r="BF30" i="18"/>
  <c r="BG30" i="18"/>
  <c r="Q31" i="18"/>
  <c r="R17" i="18"/>
  <c r="A17" i="18"/>
  <c r="A27" i="7"/>
  <c r="A50" i="18"/>
  <c r="A34" i="7"/>
  <c r="A83" i="18"/>
  <c r="A41" i="7"/>
  <c r="A116" i="18"/>
  <c r="A48" i="7"/>
  <c r="A149" i="18"/>
  <c r="A55" i="7"/>
  <c r="A62" i="7"/>
  <c r="A69" i="7"/>
  <c r="A248" i="18"/>
  <c r="A76" i="7"/>
  <c r="A281" i="18"/>
  <c r="A83" i="7"/>
  <c r="A314" i="18"/>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30" i="24"/>
  <c r="J30" i="24"/>
  <c r="K30" i="24"/>
  <c r="L30" i="24"/>
  <c r="M30" i="24"/>
  <c r="N30" i="24"/>
  <c r="O30" i="24"/>
  <c r="P30" i="24"/>
  <c r="Q30" i="24"/>
  <c r="R30" i="24"/>
  <c r="S30" i="24"/>
  <c r="H122" i="22"/>
  <c r="H123" i="22"/>
  <c r="H117" i="22"/>
  <c r="H118" i="22"/>
  <c r="H112" i="22"/>
  <c r="H113" i="22"/>
  <c r="S61" i="22"/>
  <c r="R61" i="22"/>
  <c r="Q61" i="22"/>
  <c r="P61" i="22"/>
  <c r="O61" i="22"/>
  <c r="N61" i="22"/>
  <c r="M61" i="22"/>
  <c r="L61" i="22"/>
  <c r="K61" i="22"/>
  <c r="J61" i="22"/>
  <c r="I61" i="22"/>
  <c r="H61" i="22"/>
  <c r="S60" i="22"/>
  <c r="R60" i="22"/>
  <c r="Q60" i="22"/>
  <c r="P60" i="22"/>
  <c r="O60" i="22"/>
  <c r="N60" i="22"/>
  <c r="M60" i="22"/>
  <c r="L60" i="22"/>
  <c r="K60" i="22"/>
  <c r="J60" i="22"/>
  <c r="I60" i="22"/>
  <c r="H60" i="22"/>
  <c r="S59" i="22"/>
  <c r="R59" i="22"/>
  <c r="Q59" i="22"/>
  <c r="P59" i="22"/>
  <c r="O59" i="22"/>
  <c r="N59" i="22"/>
  <c r="M59" i="22"/>
  <c r="L59" i="22"/>
  <c r="K59" i="22"/>
  <c r="J59" i="22"/>
  <c r="I59" i="22"/>
  <c r="H59" i="22"/>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D14" i="8"/>
  <c r="B22" i="8"/>
  <c r="E41" i="18"/>
  <c r="B57" i="31"/>
  <c r="B56" i="31"/>
  <c r="B55" i="31"/>
  <c r="B54" i="31"/>
  <c r="B53" i="31"/>
  <c r="B52" i="31"/>
  <c r="B57" i="30"/>
  <c r="B56" i="30"/>
  <c r="B55" i="30"/>
  <c r="B54" i="30"/>
  <c r="B53" i="30"/>
  <c r="B52" i="30"/>
  <c r="B57" i="29"/>
  <c r="B56" i="29"/>
  <c r="B55" i="29"/>
  <c r="B54" i="29"/>
  <c r="B53" i="29"/>
  <c r="B52" i="29"/>
  <c r="B57" i="28"/>
  <c r="B56" i="28"/>
  <c r="B55" i="28"/>
  <c r="B54" i="28"/>
  <c r="B53" i="28"/>
  <c r="B52" i="28"/>
  <c r="B57" i="27"/>
  <c r="B56" i="27"/>
  <c r="B55" i="27"/>
  <c r="B54" i="27"/>
  <c r="B53" i="27"/>
  <c r="B52" i="27"/>
  <c r="B57" i="26"/>
  <c r="B56" i="26"/>
  <c r="B55" i="26"/>
  <c r="B54" i="26"/>
  <c r="B53" i="26"/>
  <c r="B52" i="26"/>
  <c r="B57" i="24"/>
  <c r="B56" i="24"/>
  <c r="B55" i="24"/>
  <c r="B54" i="24"/>
  <c r="B53" i="24"/>
  <c r="B52" i="24"/>
  <c r="B57" i="22"/>
  <c r="B56" i="22"/>
  <c r="B55" i="22"/>
  <c r="B54" i="22"/>
  <c r="B53" i="22"/>
  <c r="B52" i="22"/>
  <c r="B56" i="21"/>
  <c r="B57" i="21"/>
  <c r="B55" i="21"/>
  <c r="B53" i="21"/>
  <c r="B54" i="21"/>
  <c r="B52" i="21"/>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54" i="7"/>
  <c r="A47" i="7"/>
  <c r="A40" i="7"/>
  <c r="A33" i="7"/>
  <c r="B86" i="7"/>
  <c r="B79" i="7"/>
  <c r="B72" i="7"/>
  <c r="B65" i="7"/>
  <c r="B58" i="7"/>
  <c r="B51" i="7"/>
  <c r="B44" i="7"/>
  <c r="B37" i="7"/>
  <c r="B23" i="7"/>
  <c r="B1" i="31"/>
  <c r="B1" i="30"/>
  <c r="B1" i="29"/>
  <c r="B1" i="28"/>
  <c r="B1" i="27"/>
  <c r="B1" i="26"/>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AC33" i="18" a="1"/>
  <c r="AC33" i="18"/>
  <c r="C24" i="18"/>
  <c r="C46" i="18"/>
  <c r="AC61" i="18"/>
  <c r="AC34" i="18"/>
  <c r="C25"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C330" i="18" a="1"/>
  <c r="AC330" i="18"/>
  <c r="C321" i="18"/>
  <c r="AC331" i="18"/>
  <c r="C322" i="18"/>
  <c r="AC332" i="18"/>
  <c r="C323" i="18"/>
  <c r="AC333" i="18"/>
  <c r="AU61" i="18" a="1"/>
  <c r="AU61" i="18"/>
  <c r="AV61" i="18"/>
  <c r="AW61" i="18"/>
  <c r="O62" i="18"/>
  <c r="AU62" i="18"/>
  <c r="AV62" i="18"/>
  <c r="AW62" i="18"/>
  <c r="O63" i="18"/>
  <c r="AU63" i="18"/>
  <c r="AV63" i="18"/>
  <c r="AW63" i="18"/>
  <c r="O64" i="18"/>
  <c r="AZ61" i="18" a="1"/>
  <c r="AZ61" i="18"/>
  <c r="BA61" i="18"/>
  <c r="BB61" i="18"/>
  <c r="P62" i="18"/>
  <c r="AZ62" i="18"/>
  <c r="BA62" i="18"/>
  <c r="BB62" i="18"/>
  <c r="P63" i="18"/>
  <c r="AZ63" i="18"/>
  <c r="BA63" i="18"/>
  <c r="BB63" i="18"/>
  <c r="P64" i="18"/>
  <c r="BE61" i="18" a="1"/>
  <c r="BE61" i="18"/>
  <c r="BF61" i="18"/>
  <c r="BG61" i="18"/>
  <c r="Q62" i="18"/>
  <c r="BE62" i="18"/>
  <c r="BF62" i="18"/>
  <c r="BG62" i="18"/>
  <c r="Q63" i="18"/>
  <c r="BE63" i="18"/>
  <c r="BF63" i="18"/>
  <c r="BG63" i="18"/>
  <c r="Q64" i="18"/>
  <c r="AU94" i="18" a="1"/>
  <c r="AU94" i="18"/>
  <c r="AV94" i="18"/>
  <c r="AW94" i="18"/>
  <c r="O95" i="18"/>
  <c r="AU95" i="18"/>
  <c r="AV95" i="18"/>
  <c r="AW95" i="18"/>
  <c r="O96" i="18"/>
  <c r="AU96" i="18"/>
  <c r="AV96" i="18"/>
  <c r="AW96" i="18"/>
  <c r="O97" i="18"/>
  <c r="AZ94" i="18" a="1"/>
  <c r="AZ94" i="18"/>
  <c r="BA94" i="18"/>
  <c r="BB94" i="18"/>
  <c r="P95" i="18"/>
  <c r="AZ95" i="18"/>
  <c r="BA95" i="18"/>
  <c r="BB95" i="18"/>
  <c r="P96" i="18"/>
  <c r="AZ96" i="18"/>
  <c r="BA96" i="18"/>
  <c r="BB96" i="18"/>
  <c r="P97" i="18"/>
  <c r="BE94" i="18" a="1"/>
  <c r="BE94" i="18"/>
  <c r="BF94" i="18"/>
  <c r="BG94" i="18"/>
  <c r="Q95" i="18"/>
  <c r="BE95" i="18"/>
  <c r="BF95" i="18"/>
  <c r="BG95" i="18"/>
  <c r="Q96" i="18"/>
  <c r="BE96" i="18"/>
  <c r="BF96" i="18"/>
  <c r="BG96" i="18"/>
  <c r="Q97" i="18"/>
  <c r="AU127" i="18" a="1"/>
  <c r="AU127" i="18"/>
  <c r="AV127" i="18"/>
  <c r="AW127" i="18"/>
  <c r="O128" i="18"/>
  <c r="AU128" i="18"/>
  <c r="AV128" i="18"/>
  <c r="AW128" i="18"/>
  <c r="O129" i="18"/>
  <c r="AU129" i="18"/>
  <c r="AV129" i="18"/>
  <c r="AW129" i="18"/>
  <c r="O130" i="18"/>
  <c r="AZ127" i="18" a="1"/>
  <c r="AZ127" i="18"/>
  <c r="BA127" i="18"/>
  <c r="BB127" i="18"/>
  <c r="P128" i="18"/>
  <c r="AZ128" i="18"/>
  <c r="BA128" i="18"/>
  <c r="BB128" i="18"/>
  <c r="P129" i="18"/>
  <c r="AZ129" i="18"/>
  <c r="BA129" i="18"/>
  <c r="BB129" i="18"/>
  <c r="P130" i="18"/>
  <c r="BE127" i="18" a="1"/>
  <c r="BE127" i="18"/>
  <c r="BF127" i="18"/>
  <c r="BG127" i="18"/>
  <c r="Q128" i="18"/>
  <c r="BE128" i="18"/>
  <c r="BF128" i="18"/>
  <c r="BG128" i="18"/>
  <c r="Q129" i="18"/>
  <c r="BE129" i="18"/>
  <c r="BF129" i="18"/>
  <c r="BG129" i="18"/>
  <c r="Q130" i="18"/>
  <c r="AU160" i="18" a="1"/>
  <c r="AU160" i="18"/>
  <c r="AV160" i="18"/>
  <c r="AW160" i="18"/>
  <c r="O161" i="18"/>
  <c r="AU161" i="18"/>
  <c r="AV161" i="18"/>
  <c r="AW161" i="18"/>
  <c r="O162" i="18"/>
  <c r="AU162" i="18"/>
  <c r="AV162" i="18"/>
  <c r="AW162" i="18"/>
  <c r="O163" i="18"/>
  <c r="AZ160" i="18" a="1"/>
  <c r="AZ160" i="18"/>
  <c r="BA160" i="18"/>
  <c r="BB160" i="18"/>
  <c r="P161" i="18"/>
  <c r="AZ161" i="18"/>
  <c r="BA161" i="18"/>
  <c r="BB161" i="18"/>
  <c r="P162" i="18"/>
  <c r="AZ162" i="18"/>
  <c r="BA162" i="18"/>
  <c r="BB162" i="18"/>
  <c r="P163" i="18"/>
  <c r="BE160" i="18" a="1"/>
  <c r="BE160" i="18"/>
  <c r="BF160" i="18"/>
  <c r="BG160" i="18"/>
  <c r="Q161" i="18"/>
  <c r="BE161" i="18"/>
  <c r="BF161" i="18"/>
  <c r="BG161" i="18"/>
  <c r="Q162" i="18"/>
  <c r="BE162" i="18"/>
  <c r="BF162" i="18"/>
  <c r="BG162" i="18"/>
  <c r="Q163" i="18"/>
  <c r="AU193" i="18" a="1"/>
  <c r="AU193" i="18"/>
  <c r="AV193" i="18"/>
  <c r="AW193" i="18"/>
  <c r="O194" i="18"/>
  <c r="AU194" i="18"/>
  <c r="AV194" i="18"/>
  <c r="AW194" i="18"/>
  <c r="O195" i="18"/>
  <c r="AU195" i="18"/>
  <c r="AV195" i="18"/>
  <c r="AW195" i="18"/>
  <c r="O196" i="18"/>
  <c r="AZ193" i="18" a="1"/>
  <c r="AZ193" i="18"/>
  <c r="BA193" i="18"/>
  <c r="BB193" i="18"/>
  <c r="P194" i="18"/>
  <c r="AZ194" i="18"/>
  <c r="BA194" i="18"/>
  <c r="BB194" i="18"/>
  <c r="P195" i="18"/>
  <c r="AZ195" i="18"/>
  <c r="BA195" i="18"/>
  <c r="BB195" i="18"/>
  <c r="P196" i="18"/>
  <c r="BE193" i="18" a="1"/>
  <c r="BE193" i="18"/>
  <c r="BF193" i="18"/>
  <c r="BG193" i="18"/>
  <c r="Q194" i="18"/>
  <c r="BE194" i="18"/>
  <c r="BF194" i="18"/>
  <c r="BG194" i="18"/>
  <c r="Q195" i="18"/>
  <c r="BE195" i="18"/>
  <c r="BF195" i="18"/>
  <c r="BG195" i="18"/>
  <c r="Q196" i="18"/>
  <c r="AU226" i="18" a="1"/>
  <c r="AU226" i="18"/>
  <c r="AV226" i="18"/>
  <c r="AW226" i="18"/>
  <c r="O227" i="18"/>
  <c r="AU227" i="18"/>
  <c r="AV227" i="18"/>
  <c r="AW227" i="18"/>
  <c r="O228" i="18"/>
  <c r="AU228" i="18"/>
  <c r="AV228" i="18"/>
  <c r="AW228" i="18"/>
  <c r="O229" i="18"/>
  <c r="AZ226" i="18" a="1"/>
  <c r="AZ226" i="18"/>
  <c r="BA226" i="18"/>
  <c r="BB226" i="18"/>
  <c r="P227" i="18"/>
  <c r="AZ227" i="18"/>
  <c r="BA227" i="18"/>
  <c r="BB227" i="18"/>
  <c r="P228" i="18"/>
  <c r="AZ228" i="18"/>
  <c r="BA228" i="18"/>
  <c r="BB228" i="18"/>
  <c r="P229" i="18"/>
  <c r="BE226" i="18" a="1"/>
  <c r="BE226" i="18"/>
  <c r="BF226" i="18"/>
  <c r="BG226" i="18"/>
  <c r="Q227" i="18"/>
  <c r="BE227" i="18"/>
  <c r="BF227" i="18"/>
  <c r="BG227" i="18"/>
  <c r="Q228" i="18"/>
  <c r="BE228" i="18"/>
  <c r="BF228" i="18"/>
  <c r="BG228" i="18"/>
  <c r="Q229" i="18"/>
  <c r="AU259" i="18" a="1"/>
  <c r="AU259" i="18"/>
  <c r="AV259" i="18"/>
  <c r="AW259" i="18"/>
  <c r="O260" i="18"/>
  <c r="AU260" i="18"/>
  <c r="AV260" i="18"/>
  <c r="AW260" i="18"/>
  <c r="O261" i="18"/>
  <c r="AU261" i="18"/>
  <c r="AV261" i="18"/>
  <c r="AW261" i="18"/>
  <c r="O262" i="18"/>
  <c r="AZ259" i="18" a="1"/>
  <c r="AZ259" i="18"/>
  <c r="BA259" i="18"/>
  <c r="BB259" i="18"/>
  <c r="P260" i="18"/>
  <c r="AZ260" i="18"/>
  <c r="BA260" i="18"/>
  <c r="BB260" i="18"/>
  <c r="P261" i="18"/>
  <c r="AZ261" i="18"/>
  <c r="BA261" i="18"/>
  <c r="BB261" i="18"/>
  <c r="P262" i="18"/>
  <c r="BE259" i="18" a="1"/>
  <c r="BE259" i="18"/>
  <c r="BF259" i="18"/>
  <c r="BG259" i="18"/>
  <c r="Q260" i="18"/>
  <c r="BE260" i="18"/>
  <c r="BF260" i="18"/>
  <c r="BG260" i="18"/>
  <c r="Q261" i="18"/>
  <c r="BE261" i="18"/>
  <c r="BF261" i="18"/>
  <c r="BG261" i="18"/>
  <c r="Q262" i="18"/>
  <c r="AU292" i="18" a="1"/>
  <c r="AU292" i="18"/>
  <c r="AV292" i="18"/>
  <c r="AW292" i="18"/>
  <c r="O293" i="18"/>
  <c r="AU293" i="18"/>
  <c r="AV293" i="18"/>
  <c r="AW293" i="18"/>
  <c r="O294" i="18"/>
  <c r="AU294" i="18"/>
  <c r="AV294" i="18"/>
  <c r="AW294" i="18"/>
  <c r="O295" i="18"/>
  <c r="AZ292" i="18" a="1"/>
  <c r="AZ292" i="18"/>
  <c r="BA292" i="18"/>
  <c r="BB292" i="18"/>
  <c r="P293" i="18"/>
  <c r="AZ293" i="18"/>
  <c r="BA293" i="18"/>
  <c r="BB293" i="18"/>
  <c r="P294" i="18"/>
  <c r="AZ294" i="18"/>
  <c r="BA294" i="18"/>
  <c r="BB294" i="18"/>
  <c r="P295" i="18"/>
  <c r="BE292" i="18" a="1"/>
  <c r="BE292" i="18"/>
  <c r="BF292" i="18"/>
  <c r="BG292" i="18"/>
  <c r="Q293" i="18"/>
  <c r="BE293" i="18"/>
  <c r="BF293" i="18"/>
  <c r="BG293" i="18"/>
  <c r="Q294" i="18"/>
  <c r="BE294" i="18"/>
  <c r="BF294" i="18"/>
  <c r="BG294" i="18"/>
  <c r="Q295" i="18"/>
  <c r="AU325" i="18" a="1"/>
  <c r="AU325" i="18"/>
  <c r="AV325" i="18"/>
  <c r="AW325" i="18"/>
  <c r="O326" i="18"/>
  <c r="AU326" i="18"/>
  <c r="AV326" i="18"/>
  <c r="AW326" i="18"/>
  <c r="O327" i="18"/>
  <c r="AU327" i="18"/>
  <c r="AV327" i="18"/>
  <c r="AW327" i="18"/>
  <c r="O328" i="18"/>
  <c r="AZ325" i="18" a="1"/>
  <c r="AZ325" i="18"/>
  <c r="BA325" i="18"/>
  <c r="BB325" i="18"/>
  <c r="P326" i="18"/>
  <c r="AZ326" i="18"/>
  <c r="BA326" i="18"/>
  <c r="BB326" i="18"/>
  <c r="P327" i="18"/>
  <c r="AZ327" i="18"/>
  <c r="BA327" i="18"/>
  <c r="BB327" i="18"/>
  <c r="P328" i="18"/>
  <c r="BE325" i="18" a="1"/>
  <c r="BE325" i="18"/>
  <c r="BF325" i="18"/>
  <c r="BG325" i="18"/>
  <c r="Q326" i="18"/>
  <c r="BE326" i="18"/>
  <c r="BF326" i="18"/>
  <c r="BG326" i="18"/>
  <c r="Q327" i="18"/>
  <c r="BE327" i="18"/>
  <c r="BF327" i="18"/>
  <c r="BG327" i="18"/>
  <c r="Q328"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T15" i="18" a="1"/>
  <c r="T15" i="18"/>
  <c r="G26" i="7"/>
  <c r="U15" i="18"/>
  <c r="H26" i="7"/>
  <c r="V15" i="18"/>
  <c r="I26" i="7"/>
  <c r="W15" i="18"/>
  <c r="J26" i="7"/>
  <c r="C26" i="7"/>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16" i="18"/>
  <c r="G27" i="7"/>
  <c r="U16" i="18"/>
  <c r="H27" i="7"/>
  <c r="V16" i="18"/>
  <c r="I27" i="7"/>
  <c r="W16" i="18"/>
  <c r="J27" i="7"/>
  <c r="C27"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17" i="18"/>
  <c r="G28" i="7"/>
  <c r="U17" i="18"/>
  <c r="H28" i="7"/>
  <c r="V17" i="18"/>
  <c r="I28" i="7"/>
  <c r="W17" i="18"/>
  <c r="J28" i="7"/>
  <c r="C28"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18" i="18"/>
  <c r="V18" i="18"/>
  <c r="U18" i="18"/>
  <c r="T18" i="18"/>
  <c r="W51" i="18"/>
  <c r="V51" i="18"/>
  <c r="U51" i="18"/>
  <c r="T51" i="18"/>
  <c r="W84" i="18"/>
  <c r="V84" i="18"/>
  <c r="U84" i="18"/>
  <c r="T84" i="18"/>
  <c r="W117" i="18"/>
  <c r="V117" i="18"/>
  <c r="U117" i="18"/>
  <c r="T117" i="18"/>
  <c r="W150" i="18"/>
  <c r="V150" i="18"/>
  <c r="U150" i="18"/>
  <c r="T150" i="18"/>
  <c r="W183" i="18"/>
  <c r="V183" i="18"/>
  <c r="U183" i="18"/>
  <c r="T183" i="18"/>
  <c r="W216" i="18"/>
  <c r="V216" i="18"/>
  <c r="U216" i="18"/>
  <c r="T216" i="18"/>
  <c r="W249" i="18"/>
  <c r="V249" i="18"/>
  <c r="U249" i="18"/>
  <c r="T249" i="18"/>
  <c r="W282" i="18"/>
  <c r="V282" i="18"/>
  <c r="U282" i="18"/>
  <c r="T282" i="18"/>
  <c r="W315" i="18"/>
  <c r="V315" i="18"/>
  <c r="U315" i="18"/>
  <c r="T315" i="18"/>
  <c r="BE328" i="18"/>
  <c r="AZ328" i="18"/>
  <c r="AU328" i="18"/>
  <c r="AC300" i="18"/>
  <c r="BE295" i="18"/>
  <c r="AZ295" i="18"/>
  <c r="AU295" i="18"/>
  <c r="AC267" i="18"/>
  <c r="BE262" i="18"/>
  <c r="AZ262" i="18"/>
  <c r="AU262" i="18"/>
  <c r="AC234" i="18"/>
  <c r="BE229" i="18"/>
  <c r="AZ229" i="18"/>
  <c r="AU229" i="18"/>
  <c r="AC201" i="18"/>
  <c r="BE196" i="18"/>
  <c r="AZ196" i="18"/>
  <c r="AU196" i="18"/>
  <c r="AC168" i="18"/>
  <c r="BE163" i="18"/>
  <c r="AZ163" i="18"/>
  <c r="AU163" i="18"/>
  <c r="AC135" i="18"/>
  <c r="BE130" i="18"/>
  <c r="AZ130" i="18"/>
  <c r="AU130" i="18"/>
  <c r="AC102" i="18"/>
  <c r="BE97" i="18"/>
  <c r="AZ97" i="18"/>
  <c r="AU97" i="18"/>
  <c r="AC69" i="18"/>
  <c r="BE64" i="18"/>
  <c r="AZ64" i="18"/>
  <c r="AU64" i="18"/>
  <c r="AC36" i="18"/>
  <c r="F28" i="18" a="1"/>
  <c r="F28" i="18"/>
  <c r="Y15" i="18"/>
  <c r="F29" i="18"/>
  <c r="Y16" i="18"/>
  <c r="F30" i="18"/>
  <c r="Y17" i="18"/>
  <c r="Y22" i="18" a="1"/>
  <c r="Y22" i="18"/>
  <c r="Q26" i="7"/>
  <c r="Y23" i="18"/>
  <c r="Q27" i="7"/>
  <c r="Y24" i="18"/>
  <c r="Q28" i="7"/>
  <c r="Y25" i="18"/>
  <c r="F33" i="18"/>
  <c r="F32" i="18"/>
  <c r="F31" i="18"/>
  <c r="C61" i="18" a="1"/>
  <c r="C61" i="18"/>
  <c r="E70" i="18"/>
  <c r="F54" i="18"/>
  <c r="C63" i="18"/>
  <c r="E72" i="18"/>
  <c r="F56" i="18"/>
  <c r="C62" i="18"/>
  <c r="E71" i="18"/>
  <c r="F55" i="18"/>
  <c r="C94" i="18" a="1"/>
  <c r="C94" i="18"/>
  <c r="E103" i="18"/>
  <c r="C95" i="18"/>
  <c r="E104" i="18"/>
  <c r="C96" i="18"/>
  <c r="E105" i="18"/>
  <c r="C127" i="18" a="1"/>
  <c r="C127" i="18"/>
  <c r="E136" i="18"/>
  <c r="C128" i="18"/>
  <c r="E137" i="18"/>
  <c r="C129" i="18"/>
  <c r="E138" i="18"/>
  <c r="C160" i="18" a="1"/>
  <c r="C160" i="18"/>
  <c r="E169" i="18"/>
  <c r="C161" i="18"/>
  <c r="E170" i="18"/>
  <c r="C162" i="18"/>
  <c r="E171"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C65" i="18" a="1"/>
  <c r="C65" i="18"/>
  <c r="E74" i="18"/>
  <c r="C66" i="18"/>
  <c r="E75" i="18"/>
  <c r="C67" i="18"/>
  <c r="E76" i="18"/>
  <c r="C98" i="18" a="1"/>
  <c r="C98" i="18"/>
  <c r="E107" i="18"/>
  <c r="C99" i="18"/>
  <c r="E108" i="18"/>
  <c r="C100" i="18"/>
  <c r="E109" i="18"/>
  <c r="C131" i="18" a="1"/>
  <c r="C131" i="18"/>
  <c r="E140" i="18"/>
  <c r="C132" i="18"/>
  <c r="E141" i="18"/>
  <c r="C133" i="18"/>
  <c r="E142"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6" i="18"/>
  <c r="E305" i="18"/>
  <c r="C297" i="18"/>
  <c r="E306" i="18"/>
  <c r="C298" i="18"/>
  <c r="E307" i="18"/>
  <c r="C329" i="18" a="1"/>
  <c r="C331" i="18"/>
  <c r="C326" i="18"/>
  <c r="E340" i="18"/>
  <c r="F323" i="18"/>
  <c r="AB312" i="18"/>
  <c r="AB313" i="18"/>
  <c r="AB314" i="18"/>
  <c r="AB319" i="18" a="1"/>
  <c r="AB321" i="18"/>
  <c r="T91" i="7"/>
  <c r="C330" i="18"/>
  <c r="C327" i="18"/>
  <c r="E339" i="18"/>
  <c r="F322" i="18"/>
  <c r="AA312" i="18"/>
  <c r="AA313" i="18"/>
  <c r="AA314" i="18"/>
  <c r="AA319" i="18" a="1"/>
  <c r="AA321" i="18"/>
  <c r="S91" i="7"/>
  <c r="C329" i="18"/>
  <c r="E338" i="18"/>
  <c r="F321" i="18"/>
  <c r="Z312" i="18"/>
  <c r="Z313" i="18"/>
  <c r="Z314" i="18"/>
  <c r="Z319" i="18" a="1"/>
  <c r="Z321" i="18"/>
  <c r="R91" i="7"/>
  <c r="F285" i="18"/>
  <c r="F252" i="18"/>
  <c r="F219" i="18"/>
  <c r="F186" i="18"/>
  <c r="F153" i="18"/>
  <c r="F120" i="18"/>
  <c r="F87" i="18"/>
  <c r="AB320" i="18"/>
  <c r="T90" i="7"/>
  <c r="AA320" i="18"/>
  <c r="S90" i="7"/>
  <c r="Z320" i="18"/>
  <c r="R90" i="7"/>
  <c r="AB319" i="18"/>
  <c r="T89" i="7"/>
  <c r="AB322" i="18"/>
  <c r="AA319" i="18"/>
  <c r="S89" i="7"/>
  <c r="AA322" i="18"/>
  <c r="Z319" i="18"/>
  <c r="R89" i="7"/>
  <c r="Z322" i="18"/>
  <c r="C68" i="18"/>
  <c r="C101" i="18"/>
  <c r="C134" i="18"/>
  <c r="C167" i="18"/>
  <c r="C200" i="18"/>
  <c r="C233" i="18"/>
  <c r="C266" i="18"/>
  <c r="C299" i="18"/>
  <c r="C332" i="18"/>
  <c r="C64" i="18"/>
  <c r="C97" i="18"/>
  <c r="C130" i="18"/>
  <c r="C163" i="18"/>
  <c r="C196" i="18"/>
  <c r="C229" i="18"/>
  <c r="C262" i="18"/>
  <c r="C295" i="18"/>
  <c r="C328" i="18"/>
  <c r="M61" i="18"/>
  <c r="M62" i="18"/>
  <c r="M63" i="18"/>
  <c r="M64" i="18"/>
  <c r="M65" i="18"/>
  <c r="M66" i="18"/>
  <c r="M94" i="18"/>
  <c r="M95" i="18"/>
  <c r="M96" i="18"/>
  <c r="M127" i="18"/>
  <c r="M128" i="18"/>
  <c r="M129" i="18"/>
  <c r="M160" i="18"/>
  <c r="M161" i="18"/>
  <c r="M162" i="18"/>
  <c r="M193" i="18"/>
  <c r="M194" i="18"/>
  <c r="M195" i="18"/>
  <c r="M226" i="18"/>
  <c r="M227" i="18"/>
  <c r="M228" i="18"/>
  <c r="M259" i="18"/>
  <c r="M260" i="18"/>
  <c r="M261" i="18"/>
  <c r="M292" i="18"/>
  <c r="M293" i="18"/>
  <c r="M294" i="18"/>
  <c r="M325" i="18"/>
  <c r="M326" i="18"/>
  <c r="M327" i="18"/>
  <c r="F88" i="18"/>
  <c r="F89" i="18"/>
  <c r="F121" i="18"/>
  <c r="F122" i="18"/>
  <c r="F154" i="18"/>
  <c r="F155" i="18"/>
  <c r="F187" i="18"/>
  <c r="F188" i="18"/>
  <c r="F220" i="18"/>
  <c r="F221" i="18"/>
  <c r="F253" i="18"/>
  <c r="F254" i="18"/>
  <c r="F286" i="18"/>
  <c r="F287" i="18"/>
  <c r="E335" i="18"/>
  <c r="F319" i="18"/>
  <c r="E336" i="18"/>
  <c r="F320" i="18"/>
  <c r="M99" i="18"/>
  <c r="M98" i="18"/>
  <c r="M97" i="18"/>
  <c r="M132" i="18"/>
  <c r="M131" i="18"/>
  <c r="M130" i="18"/>
  <c r="M165" i="18"/>
  <c r="M164" i="18"/>
  <c r="M163" i="18"/>
  <c r="M198" i="18"/>
  <c r="M197" i="18"/>
  <c r="M196" i="18"/>
  <c r="M231" i="18"/>
  <c r="M230" i="18"/>
  <c r="M229" i="18"/>
  <c r="M264" i="18"/>
  <c r="M263" i="18"/>
  <c r="M262" i="18"/>
  <c r="M297" i="18"/>
  <c r="M296" i="18"/>
  <c r="M295" i="18"/>
  <c r="M330" i="18"/>
  <c r="M329" i="18"/>
  <c r="M328" i="18"/>
  <c r="F325" i="18" a="1"/>
  <c r="F329" i="18"/>
  <c r="J286" i="18"/>
  <c r="F330" i="18"/>
  <c r="J287" i="18"/>
  <c r="F292" i="18" a="1"/>
  <c r="F296" i="18"/>
  <c r="J253" i="18"/>
  <c r="F297" i="18"/>
  <c r="J254" i="18"/>
  <c r="F259" i="18" a="1"/>
  <c r="F263" i="18"/>
  <c r="J220" i="18"/>
  <c r="F264" i="18"/>
  <c r="J221" i="18"/>
  <c r="F226" i="18" a="1"/>
  <c r="F230" i="18"/>
  <c r="J187" i="18"/>
  <c r="F231" i="18"/>
  <c r="J188" i="18"/>
  <c r="F193" i="18" a="1"/>
  <c r="F197" i="18"/>
  <c r="J154" i="18"/>
  <c r="F198" i="18"/>
  <c r="J155" i="18"/>
  <c r="F127" i="18" a="1"/>
  <c r="F131" i="18"/>
  <c r="J88" i="18"/>
  <c r="F132" i="18"/>
  <c r="J89" i="18"/>
  <c r="F94" i="18" a="1"/>
  <c r="F98" i="18"/>
  <c r="J55" i="18"/>
  <c r="F99" i="18"/>
  <c r="J56" i="18"/>
  <c r="F327" i="18"/>
  <c r="Y314" i="18"/>
  <c r="F326" i="18"/>
  <c r="Y313" i="18"/>
  <c r="F325" i="18"/>
  <c r="F294" i="18"/>
  <c r="Y281" i="18"/>
  <c r="F293" i="18"/>
  <c r="Y280" i="18"/>
  <c r="F292" i="18"/>
  <c r="F261" i="18"/>
  <c r="Y248" i="18"/>
  <c r="F260" i="18"/>
  <c r="Y247" i="18"/>
  <c r="F259" i="18"/>
  <c r="F228" i="18"/>
  <c r="Y215" i="18"/>
  <c r="F227" i="18"/>
  <c r="Y214" i="18"/>
  <c r="F226" i="18"/>
  <c r="F195" i="18"/>
  <c r="Y182" i="18"/>
  <c r="F194" i="18"/>
  <c r="Y181" i="18"/>
  <c r="F193" i="18"/>
  <c r="F162" i="18"/>
  <c r="Y149" i="18"/>
  <c r="F161" i="18"/>
  <c r="Y148" i="18"/>
  <c r="F160" i="18"/>
  <c r="F129" i="18"/>
  <c r="Y116" i="18"/>
  <c r="F128" i="18"/>
  <c r="Y115" i="18"/>
  <c r="F127" i="18"/>
  <c r="F96" i="18"/>
  <c r="Y83" i="18"/>
  <c r="F95" i="18"/>
  <c r="Y82" i="18"/>
  <c r="F94" i="18"/>
  <c r="F97" i="18"/>
  <c r="J54" i="18"/>
  <c r="L54" i="18" a="1"/>
  <c r="L54" i="18"/>
  <c r="F57" i="18"/>
  <c r="Z49" i="18"/>
  <c r="Z50" i="18"/>
  <c r="Z48" i="18"/>
  <c r="Z55" i="18" a="1"/>
  <c r="Z55" i="18"/>
  <c r="R33" i="7"/>
  <c r="L55" i="18"/>
  <c r="F58" i="18"/>
  <c r="AA49" i="18"/>
  <c r="AA50" i="18"/>
  <c r="AA48" i="18"/>
  <c r="AA55" i="18" a="1"/>
  <c r="AA55" i="18"/>
  <c r="S33" i="7"/>
  <c r="L56" i="18"/>
  <c r="F59" i="18"/>
  <c r="AB49" i="18"/>
  <c r="AB50" i="18"/>
  <c r="AB48" i="18"/>
  <c r="AB55" i="18" a="1"/>
  <c r="AB55" i="18"/>
  <c r="T33" i="7"/>
  <c r="F130" i="18"/>
  <c r="J87" i="18"/>
  <c r="L87" i="18" a="1"/>
  <c r="L87" i="18"/>
  <c r="F90" i="18"/>
  <c r="Z82" i="18"/>
  <c r="Z83" i="18"/>
  <c r="Z81" i="18"/>
  <c r="Z88" i="18" a="1"/>
  <c r="Z88" i="18"/>
  <c r="R40" i="7"/>
  <c r="L88" i="18"/>
  <c r="F91" i="18"/>
  <c r="AA82" i="18"/>
  <c r="AA83" i="18"/>
  <c r="AA81" i="18"/>
  <c r="AA88" i="18" a="1"/>
  <c r="AA88" i="18"/>
  <c r="S40" i="7"/>
  <c r="L89" i="18"/>
  <c r="F92" i="18"/>
  <c r="AB82" i="18"/>
  <c r="AB83" i="18"/>
  <c r="AB81" i="18"/>
  <c r="AB88" i="18" a="1"/>
  <c r="AB88" i="18"/>
  <c r="T40" i="7"/>
  <c r="Y81" i="18"/>
  <c r="Y88" i="18" a="1"/>
  <c r="Y88" i="18"/>
  <c r="Q40" i="7"/>
  <c r="E40" i="7"/>
  <c r="Z121" i="18"/>
  <c r="R47" i="7"/>
  <c r="AA121" i="18"/>
  <c r="S47" i="7"/>
  <c r="AB121" i="18"/>
  <c r="T47" i="7"/>
  <c r="Y114" i="18"/>
  <c r="Y121" i="18" a="1"/>
  <c r="Y121" i="18"/>
  <c r="Q47" i="7"/>
  <c r="E47" i="7"/>
  <c r="F196" i="18"/>
  <c r="J153" i="18"/>
  <c r="L153" i="18" a="1"/>
  <c r="L153" i="18"/>
  <c r="F156" i="18"/>
  <c r="Z148" i="18"/>
  <c r="Z149" i="18"/>
  <c r="Z147" i="18"/>
  <c r="Z154" i="18" a="1"/>
  <c r="Z154" i="18"/>
  <c r="R54" i="7"/>
  <c r="L154" i="18"/>
  <c r="F157" i="18"/>
  <c r="AA148" i="18"/>
  <c r="AA149" i="18"/>
  <c r="AA147" i="18"/>
  <c r="AA154" i="18" a="1"/>
  <c r="AA154" i="18"/>
  <c r="S54" i="7"/>
  <c r="L155" i="18"/>
  <c r="F158" i="18"/>
  <c r="AB148" i="18"/>
  <c r="AB149" i="18"/>
  <c r="AB147" i="18"/>
  <c r="AB154" i="18" a="1"/>
  <c r="AB154" i="18"/>
  <c r="T54" i="7"/>
  <c r="Y147" i="18"/>
  <c r="Y154" i="18" a="1"/>
  <c r="Y154" i="18"/>
  <c r="Q54" i="7"/>
  <c r="E54" i="7"/>
  <c r="F229" i="18"/>
  <c r="J186" i="18"/>
  <c r="L186" i="18" a="1"/>
  <c r="L186" i="18"/>
  <c r="F189" i="18"/>
  <c r="Z181" i="18"/>
  <c r="Z182" i="18"/>
  <c r="Z180" i="18"/>
  <c r="Z187" i="18" a="1"/>
  <c r="Z187" i="18"/>
  <c r="R61" i="7"/>
  <c r="L187" i="18"/>
  <c r="F190" i="18"/>
  <c r="AA181" i="18"/>
  <c r="AA182" i="18"/>
  <c r="AA180" i="18"/>
  <c r="AA187" i="18" a="1"/>
  <c r="AA187" i="18"/>
  <c r="S61" i="7"/>
  <c r="L188" i="18"/>
  <c r="F191" i="18"/>
  <c r="AB181" i="18"/>
  <c r="AB182" i="18"/>
  <c r="AB180" i="18"/>
  <c r="AB187" i="18" a="1"/>
  <c r="AB187" i="18"/>
  <c r="T61" i="7"/>
  <c r="Y180" i="18"/>
  <c r="Y187" i="18" a="1"/>
  <c r="Y187" i="18"/>
  <c r="Q61" i="7"/>
  <c r="E61" i="7"/>
  <c r="F262" i="18"/>
  <c r="J219" i="18"/>
  <c r="L219" i="18" a="1"/>
  <c r="L219" i="18"/>
  <c r="F222" i="18"/>
  <c r="Z214" i="18"/>
  <c r="Z215" i="18"/>
  <c r="Z213" i="18"/>
  <c r="Z220" i="18" a="1"/>
  <c r="Z220" i="18"/>
  <c r="R68" i="7"/>
  <c r="L220" i="18"/>
  <c r="F223" i="18"/>
  <c r="AA214" i="18"/>
  <c r="AA215" i="18"/>
  <c r="AA213" i="18"/>
  <c r="AA220" i="18" a="1"/>
  <c r="AA220" i="18"/>
  <c r="S68" i="7"/>
  <c r="L221" i="18"/>
  <c r="F224" i="18"/>
  <c r="AB214" i="18"/>
  <c r="AB215" i="18"/>
  <c r="AB213" i="18"/>
  <c r="AB220" i="18" a="1"/>
  <c r="AB220" i="18"/>
  <c r="T68" i="7"/>
  <c r="Y213" i="18"/>
  <c r="Y220" i="18" a="1"/>
  <c r="Y220" i="18"/>
  <c r="Q68" i="7"/>
  <c r="E68" i="7"/>
  <c r="F295" i="18"/>
  <c r="J252" i="18"/>
  <c r="L252" i="18" a="1"/>
  <c r="L252" i="18"/>
  <c r="F255" i="18"/>
  <c r="Z247" i="18"/>
  <c r="Z248" i="18"/>
  <c r="Z246" i="18"/>
  <c r="Z253" i="18" a="1"/>
  <c r="Z253" i="18"/>
  <c r="R75" i="7"/>
  <c r="L253" i="18"/>
  <c r="F256" i="18"/>
  <c r="AA247" i="18"/>
  <c r="AA248" i="18"/>
  <c r="AA246" i="18"/>
  <c r="AA253" i="18" a="1"/>
  <c r="AA253" i="18"/>
  <c r="S75" i="7"/>
  <c r="L254" i="18"/>
  <c r="F257" i="18"/>
  <c r="AB247" i="18"/>
  <c r="AB248" i="18"/>
  <c r="AB246" i="18"/>
  <c r="AB253" i="18" a="1"/>
  <c r="AB253" i="18"/>
  <c r="T75" i="7"/>
  <c r="Y246" i="18"/>
  <c r="Y253" i="18" a="1"/>
  <c r="Y253" i="18"/>
  <c r="Q75" i="7"/>
  <c r="E75" i="7"/>
  <c r="F328" i="18"/>
  <c r="J285" i="18"/>
  <c r="L285" i="18" a="1"/>
  <c r="L285" i="18"/>
  <c r="F288" i="18"/>
  <c r="Z280" i="18"/>
  <c r="Z281" i="18"/>
  <c r="Z279" i="18"/>
  <c r="Z286" i="18" a="1"/>
  <c r="Z286" i="18"/>
  <c r="R82" i="7"/>
  <c r="L286" i="18"/>
  <c r="F289" i="18"/>
  <c r="AA280" i="18"/>
  <c r="AA281" i="18"/>
  <c r="AA279" i="18"/>
  <c r="AA286" i="18" a="1"/>
  <c r="AA286" i="18"/>
  <c r="S82" i="7"/>
  <c r="L287" i="18"/>
  <c r="F290" i="18"/>
  <c r="AB280" i="18"/>
  <c r="AB281" i="18"/>
  <c r="AB279" i="18"/>
  <c r="AB286" i="18" a="1"/>
  <c r="AB286" i="18"/>
  <c r="T82" i="7"/>
  <c r="Y279" i="18"/>
  <c r="Y286" i="18" a="1"/>
  <c r="Y286" i="18"/>
  <c r="Q82" i="7"/>
  <c r="E82" i="7"/>
  <c r="Y312" i="18"/>
  <c r="Y319" i="18" a="1"/>
  <c r="Y319" i="18"/>
  <c r="Q89" i="7"/>
  <c r="E89" i="7"/>
  <c r="Z56" i="18"/>
  <c r="R34" i="7"/>
  <c r="AA56" i="18"/>
  <c r="S34" i="7"/>
  <c r="AB56" i="18"/>
  <c r="T34" i="7"/>
  <c r="Z89" i="18"/>
  <c r="R41" i="7"/>
  <c r="AA89" i="18"/>
  <c r="S41" i="7"/>
  <c r="AB89" i="18"/>
  <c r="T41" i="7"/>
  <c r="Y89" i="18"/>
  <c r="Q41" i="7"/>
  <c r="E41" i="7"/>
  <c r="Y122" i="18"/>
  <c r="Q48" i="7"/>
  <c r="Z155" i="18"/>
  <c r="R55" i="7"/>
  <c r="AA155" i="18"/>
  <c r="S55" i="7"/>
  <c r="AB155" i="18"/>
  <c r="T55" i="7"/>
  <c r="Y155" i="18"/>
  <c r="Q55" i="7"/>
  <c r="E55" i="7"/>
  <c r="Z188" i="18"/>
  <c r="R62" i="7"/>
  <c r="AA188" i="18"/>
  <c r="S62" i="7"/>
  <c r="AB188" i="18"/>
  <c r="T62" i="7"/>
  <c r="Y188" i="18"/>
  <c r="Q62" i="7"/>
  <c r="E62" i="7"/>
  <c r="Z221" i="18"/>
  <c r="R69" i="7"/>
  <c r="AA221" i="18"/>
  <c r="S69" i="7"/>
  <c r="AB221" i="18"/>
  <c r="T69" i="7"/>
  <c r="Y221" i="18"/>
  <c r="Q69" i="7"/>
  <c r="E69" i="7"/>
  <c r="Z254" i="18"/>
  <c r="R76" i="7"/>
  <c r="AA254" i="18"/>
  <c r="S76" i="7"/>
  <c r="AB254" i="18"/>
  <c r="T76" i="7"/>
  <c r="Y254" i="18"/>
  <c r="Q76" i="7"/>
  <c r="E76" i="7"/>
  <c r="Z287" i="18"/>
  <c r="R83" i="7"/>
  <c r="AA287" i="18"/>
  <c r="S83" i="7"/>
  <c r="AB287" i="18"/>
  <c r="T83" i="7"/>
  <c r="Y287" i="18"/>
  <c r="Q83" i="7"/>
  <c r="E83" i="7"/>
  <c r="Y320" i="18"/>
  <c r="Q90" i="7"/>
  <c r="E90" i="7"/>
  <c r="Z57" i="18"/>
  <c r="Z58" i="18"/>
  <c r="R35" i="7"/>
  <c r="AA57" i="18"/>
  <c r="AA58" i="18"/>
  <c r="S35" i="7"/>
  <c r="AB57" i="18"/>
  <c r="L57" i="18"/>
  <c r="AB58" i="18"/>
  <c r="T35" i="7"/>
  <c r="Z90" i="18"/>
  <c r="Z91" i="18"/>
  <c r="R42" i="7"/>
  <c r="AA90" i="18"/>
  <c r="AA91" i="18"/>
  <c r="S42" i="7"/>
  <c r="AB90" i="18"/>
  <c r="L90" i="18"/>
  <c r="AB91" i="18"/>
  <c r="T42" i="7"/>
  <c r="Y91" i="18"/>
  <c r="Y90" i="18"/>
  <c r="Q42" i="7"/>
  <c r="E42" i="7"/>
  <c r="Z123" i="18"/>
  <c r="Z124" i="18"/>
  <c r="R49" i="7"/>
  <c r="AA123" i="18"/>
  <c r="AA124" i="18"/>
  <c r="S49" i="7"/>
  <c r="AB123" i="18"/>
  <c r="L123" i="18"/>
  <c r="AB124" i="18"/>
  <c r="T49" i="7"/>
  <c r="Y124" i="18"/>
  <c r="Y123" i="18"/>
  <c r="Q49" i="7"/>
  <c r="E49" i="7"/>
  <c r="Z156" i="18"/>
  <c r="Z157" i="18"/>
  <c r="R56" i="7"/>
  <c r="AA156" i="18"/>
  <c r="AA157" i="18"/>
  <c r="S56" i="7"/>
  <c r="AB156" i="18"/>
  <c r="L156" i="18"/>
  <c r="AB157" i="18"/>
  <c r="T56" i="7"/>
  <c r="Y157" i="18"/>
  <c r="Y156" i="18"/>
  <c r="Q56" i="7"/>
  <c r="E56" i="7"/>
  <c r="Z189" i="18"/>
  <c r="Z190" i="18"/>
  <c r="R63" i="7"/>
  <c r="AA189" i="18"/>
  <c r="AA190" i="18"/>
  <c r="S63" i="7"/>
  <c r="AB189" i="18"/>
  <c r="L189" i="18"/>
  <c r="AB190" i="18"/>
  <c r="T63" i="7"/>
  <c r="Y190" i="18"/>
  <c r="Y189" i="18"/>
  <c r="Q63" i="7"/>
  <c r="E63" i="7"/>
  <c r="Z222" i="18"/>
  <c r="Z223" i="18"/>
  <c r="R70" i="7"/>
  <c r="AA222" i="18"/>
  <c r="AA223" i="18"/>
  <c r="S70" i="7"/>
  <c r="AB222" i="18"/>
  <c r="L222" i="18"/>
  <c r="AB223" i="18"/>
  <c r="T70" i="7"/>
  <c r="Y223" i="18"/>
  <c r="Y222" i="18"/>
  <c r="Q70" i="7"/>
  <c r="E70" i="7"/>
  <c r="Z255" i="18"/>
  <c r="Z256" i="18"/>
  <c r="R77" i="7"/>
  <c r="AA255" i="18"/>
  <c r="AA256" i="18"/>
  <c r="S77" i="7"/>
  <c r="AB255" i="18"/>
  <c r="L255" i="18"/>
  <c r="AB256" i="18"/>
  <c r="T77" i="7"/>
  <c r="Y256" i="18"/>
  <c r="Y255" i="18"/>
  <c r="Q77" i="7"/>
  <c r="E77" i="7"/>
  <c r="Z288" i="18"/>
  <c r="Z289" i="18"/>
  <c r="R84" i="7"/>
  <c r="AA288" i="18"/>
  <c r="AA289" i="18"/>
  <c r="S84" i="7"/>
  <c r="AB288" i="18"/>
  <c r="L288" i="18"/>
  <c r="AB289" i="18"/>
  <c r="T84" i="7"/>
  <c r="Y289" i="18"/>
  <c r="Y288" i="18"/>
  <c r="Q84" i="7"/>
  <c r="E84" i="7"/>
  <c r="Y322" i="18"/>
  <c r="Y321" i="18"/>
  <c r="Q91" i="7"/>
  <c r="E91" i="7"/>
  <c r="F61" i="18" a="1"/>
  <c r="F65" i="18"/>
  <c r="J22" i="18"/>
  <c r="F66" i="18"/>
  <c r="J23" i="18"/>
  <c r="F64" i="18"/>
  <c r="J21" i="18"/>
  <c r="L21" i="18" a="1"/>
  <c r="L21" i="18"/>
  <c r="F24" i="18"/>
  <c r="Z16" i="18"/>
  <c r="Z17" i="18"/>
  <c r="L22" i="18"/>
  <c r="F25" i="18"/>
  <c r="AA16" i="18"/>
  <c r="AA17" i="18"/>
  <c r="AA15" i="18"/>
  <c r="AA22" i="18" a="1"/>
  <c r="AA22" i="18"/>
  <c r="S26" i="7"/>
  <c r="L23" i="18"/>
  <c r="F26" i="18"/>
  <c r="AB16" i="18"/>
  <c r="AB17" i="18"/>
  <c r="AB15" i="18"/>
  <c r="AB22" i="18" a="1"/>
  <c r="AB22" i="18"/>
  <c r="T26" i="7"/>
  <c r="F61" i="18"/>
  <c r="F62" i="18"/>
  <c r="Y49" i="18"/>
  <c r="F63" i="18"/>
  <c r="Y50" i="18"/>
  <c r="Y48" i="18"/>
  <c r="Y55" i="18" a="1"/>
  <c r="Y55" i="18"/>
  <c r="Q33" i="7"/>
  <c r="E33" i="7"/>
  <c r="AA23" i="18"/>
  <c r="S27" i="7"/>
  <c r="AB23" i="18"/>
  <c r="T27" i="7"/>
  <c r="Y56" i="18"/>
  <c r="Q34" i="7"/>
  <c r="E34" i="7"/>
  <c r="Z15" i="18"/>
  <c r="Z22" i="18" a="1"/>
  <c r="Z23" i="18"/>
  <c r="R27" i="7"/>
  <c r="E27" i="7"/>
  <c r="G17" i="7"/>
  <c r="Z24" i="18"/>
  <c r="AA24" i="18"/>
  <c r="AA25" i="18"/>
  <c r="S28" i="7"/>
  <c r="AB24" i="18"/>
  <c r="AB25" i="18"/>
  <c r="T28" i="7"/>
  <c r="Y57" i="18"/>
  <c r="Y58" i="18"/>
  <c r="Q35" i="7"/>
  <c r="E35" i="7"/>
  <c r="R28" i="7"/>
  <c r="E28" i="7"/>
  <c r="G18" i="7"/>
  <c r="L24" i="18"/>
  <c r="Z22" i="18"/>
  <c r="Z25" i="18"/>
  <c r="R26" i="7"/>
  <c r="E26" i="7"/>
  <c r="G16" i="7"/>
  <c r="G19" i="7"/>
</calcChain>
</file>

<file path=xl/comments1.xml><?xml version="1.0" encoding="utf-8"?>
<comments xmlns="http://schemas.openxmlformats.org/spreadsheetml/2006/main">
  <authors>
    <author>Alex Slocum</author>
  </authors>
  <commentList>
    <comment ref="C185" authorId="0" shapeId="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shapeId="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authors>
    <author>Alex Slocum</author>
  </authors>
  <commentList>
    <comment ref="B11" authorId="0" shapeId="0">
      <text>
        <r>
          <rPr>
            <b/>
            <sz val="9"/>
            <color indexed="81"/>
            <rFont val="Calibri"/>
            <family val="2"/>
          </rPr>
          <t>Alex Slocum:</t>
        </r>
        <r>
          <rPr>
            <sz val="9"/>
            <color indexed="81"/>
            <rFont val="Calibri"/>
            <family val="2"/>
          </rPr>
          <t xml:space="preserve">
Note absolute value
</t>
        </r>
      </text>
    </comment>
  </commentList>
</comments>
</file>

<file path=xl/comments3.xml><?xml version="1.0" encoding="utf-8"?>
<comments xmlns="http://schemas.openxmlformats.org/spreadsheetml/2006/main">
  <authors>
    <author>Alex Slocum</author>
  </authors>
  <commentList>
    <comment ref="B28" authorId="0" shapeId="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<sst xmlns="http://schemas.openxmlformats.org/spreadsheetml/2006/main" count="4081" uniqueCount="427">
  <si>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</si>
  <si>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</si>
  <si>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</si>
  <si>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</si>
  <si>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</si>
  <si>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</si>
  <si>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</si>
  <si>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</si>
  <si>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</si>
  <si>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</si>
  <si>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</si>
  <si>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</si>
  <si>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</si>
  <si>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</si>
  <si>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</si>
  <si>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</si>
  <si>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</si>
  <si>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</si>
  <si>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</si>
  <si>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</si>
  <si>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</si>
  <si>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</si>
  <si>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</si>
  <si>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</si>
  <si>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</si>
  <si>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</si>
  <si>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</si>
  <si>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</si>
  <si>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</si>
  <si>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</si>
  <si>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</si>
  <si>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</si>
  <si>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</si>
  <si>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</si>
  <si>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</si>
  <si>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</si>
  <si>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</si>
  <si>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</si>
  <si>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</si>
  <si>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</si>
  <si>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</si>
  <si>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</si>
  <si>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</si>
  <si>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</si>
  <si>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</si>
  <si>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</si>
  <si>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</si>
  <si>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</si>
  <si>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</si>
  <si>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</si>
  <si>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</si>
  <si>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</si>
  <si>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</si>
  <si>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</si>
  <si>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</si>
  <si>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</si>
  <si>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</si>
  <si>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</si>
  <si>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</si>
  <si>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</si>
  <si>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</si>
  <si>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</si>
  <si>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</si>
  <si>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</si>
  <si>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</si>
  <si>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</si>
  <si>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</si>
  <si>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</si>
  <si>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</si>
  <si>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</si>
  <si>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</si>
  <si>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</si>
  <si>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</si>
  <si>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</si>
  <si>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</si>
  <si>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</si>
  <si>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</si>
  <si>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</si>
  <si>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</si>
  <si>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</si>
  <si>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</si>
  <si>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</si>
  <si>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</si>
  <si>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</si>
  <si>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</si>
  <si>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</si>
  <si>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</si>
  <si>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</si>
  <si>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</si>
  <si>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</si>
  <si>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</si>
  <si>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</si>
  <si>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</si>
  <si>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</si>
  <si>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</si>
  <si>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</si>
  <si>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</si>
  <si>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</si>
  <si>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</si>
  <si>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</si>
  <si>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</si>
  <si>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</si>
  <si>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</si>
  <si>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</si>
  <si>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</si>
  <si>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</si>
  <si>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</si>
  <si>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</si>
  <si>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</si>
  <si>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</si>
  <si>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</si>
  <si>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</si>
  <si>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</si>
  <si>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</si>
  <si>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</si>
  <si>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</si>
  <si>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</si>
  <si>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</si>
  <si>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</si>
  <si>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</si>
  <si>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</si>
  <si>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</si>
  <si>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</si>
  <si>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</si>
  <si>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</si>
  <si>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</si>
  <si>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</si>
  <si>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</si>
  <si>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</si>
  <si>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</si>
  <si>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</si>
  <si>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</si>
  <si>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</si>
  <si>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</si>
  <si>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</si>
  <si>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</si>
  <si>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</si>
  <si>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</si>
  <si>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</si>
  <si>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</si>
  <si>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</si>
  <si>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</si>
  <si>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</si>
  <si>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</si>
  <si>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</si>
  <si>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</si>
  <si>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</si>
  <si>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</si>
  <si>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</si>
  <si>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</si>
  <si>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</si>
  <si>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</si>
  <si>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</si>
  <si>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</si>
  <si>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</si>
  <si>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</si>
  <si>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</si>
  <si>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</si>
  <si>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</si>
  <si>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</si>
  <si>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Please enter edits in "Edit History" Worksheet</t>
  </si>
  <si>
    <t>Written by Aex Slocum 2015.08.30</t>
  </si>
  <si>
    <t>Input</t>
  </si>
  <si>
    <t>Inputs in BLACK in Yellow background cells:</t>
  </si>
  <si>
    <r>
      <t xml:space="preserve">Outputs in </t>
    </r>
    <r>
      <rPr>
        <b/>
        <sz val="12"/>
        <color rgb="FFFF0000"/>
        <rFont val="Calibri"/>
        <family val="2"/>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</si>
  <si>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</si>
  <si>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</si>
  <si>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</si>
  <si>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family val="2"/>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</si>
  <si>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</si>
  <si>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</si>
  <si>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</si>
  <si>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</si>
  <si>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</si>
  <si>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</si>
  <si>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</si>
  <si>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</si>
  <si>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</si>
  <si>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</si>
  <si>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</si>
  <si>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</si>
  <si>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</si>
  <si>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</si>
  <si>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</si>
  <si>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</si>
  <si>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</si>
  <si>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</si>
  <si>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</si>
  <si>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</si>
  <si>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</si>
  <si>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</si>
  <si>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</si>
  <si>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</si>
  <si>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</si>
  <si>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</si>
  <si>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</si>
  <si>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</si>
  <si>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</si>
  <si>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</si>
  <si>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</si>
  <si>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</si>
  <si>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</si>
  <si>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</si>
  <si>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</si>
  <si>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</si>
  <si>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</si>
  <si>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</si>
  <si>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</si>
  <si>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</si>
  <si>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</si>
  <si>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</si>
  <si>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</si>
  <si>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</si>
  <si>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</si>
  <si>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</si>
  <si>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</si>
  <si>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</si>
  <si>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</si>
  <si>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</si>
  <si>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</si>
  <si>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</si>
  <si>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</si>
  <si>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</si>
  <si>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</si>
  <si>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</si>
  <si>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</si>
  <si>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</si>
  <si>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</si>
  <si>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</si>
  <si>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</si>
  <si>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</si>
  <si>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</si>
  <si>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</si>
  <si>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</si>
  <si>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</si>
  <si>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</si>
  <si>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</si>
  <si>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</si>
  <si>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</si>
  <si>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</si>
  <si>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</si>
  <si>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</si>
  <si>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</si>
  <si>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</si>
  <si>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</si>
  <si>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</si>
  <si>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</si>
  <si>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</si>
  <si>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</si>
  <si>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</si>
  <si>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</si>
  <si>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</si>
  <si>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</si>
  <si>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</si>
  <si>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</si>
  <si>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</si>
  <si>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</si>
  <si>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</si>
  <si>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</si>
  <si>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</si>
  <si>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</si>
  <si>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</si>
  <si>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</si>
  <si>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</si>
  <si>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(BE CONSISTENT WITH UNITS! add workbook for calculations if needed</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</si>
  <si>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</si>
  <si>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</si>
  <si>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</si>
  <si>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</si>
  <si>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</si>
  <si>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</si>
  <si>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</si>
  <si>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</si>
  <si>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</si>
  <si>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</si>
  <si>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</si>
  <si>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</si>
  <si>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</si>
  <si>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</si>
  <si>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</si>
  <si>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</si>
  <si>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</si>
  <si>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</si>
  <si>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</si>
  <si>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</si>
  <si>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</si>
  <si>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</si>
  <si>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</si>
  <si>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</si>
  <si>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</si>
  <si>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</si>
  <si>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</si>
  <si>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</si>
  <si>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</si>
  <si>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</si>
  <si>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</si>
  <si>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</si>
  <si>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</si>
  <si>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</si>
  <si>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</si>
  <si>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</si>
  <si>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</si>
  <si>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</si>
  <si>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</si>
  <si>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</si>
  <si>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</si>
  <si>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</si>
  <si>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</si>
  <si>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</si>
  <si>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</si>
  <si>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</si>
  <si>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steel tool</t>
  </si>
  <si>
    <t>offset from CS origin</t>
  </si>
  <si>
    <t>simply supported stiffness about Izz (N/mm)</t>
  </si>
  <si>
    <t>I width dimension of beam (mm^4)</t>
  </si>
  <si>
    <t>I height dimension of beam (mm^4)</t>
  </si>
  <si>
    <t>X axis</t>
  </si>
  <si>
    <t>Height (mm) (or diameter)</t>
  </si>
  <si>
    <t>factor to derate stiffness of shaft for nut, mounting etc</t>
  </si>
  <si>
    <t>Element</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</si>
  <si>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</si>
  <si>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</si>
  <si>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</si>
  <si>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</si>
  <si>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</si>
  <si>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</si>
  <si>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</si>
  <si>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</si>
  <si>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</si>
  <si>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</si>
  <si>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</si>
  <si>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</si>
  <si>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</si>
  <si>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</si>
  <si>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</si>
  <si>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</si>
  <si>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</si>
  <si>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</si>
  <si>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</si>
  <si>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Beam properties (rectangular tube, or round, else customize)</t>
  </si>
  <si>
    <t>Width (mm), ID or fraction of solid cylinder</t>
  </si>
  <si>
    <t>Height (mm), or OD</t>
  </si>
  <si>
    <t>Position along beam</t>
  </si>
  <si>
    <t>ref, simply supported stiffness about Izz (N/mm)</t>
  </si>
  <si>
    <t>Risers</t>
  </si>
  <si>
    <t>Table/frame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</si>
  <si>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</si>
  <si>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</si>
  <si>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</si>
  <si>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</si>
  <si>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</si>
  <si>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</si>
  <si>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</si>
  <si>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</si>
  <si>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</si>
  <si>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</si>
  <si>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</si>
  <si>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I height dimension of beam (mm^4)  (about XX)</t>
  </si>
  <si>
    <t>I width dimension of beam (mm^4) (about YY)</t>
  </si>
  <si>
    <t>Notes:  Assume the bed is actually made from two sheets of plywood or aluminum bonded together with honeycomb (or foam) core.  For Ixx since most compliant near ends, assume 10xHeight</t>
  </si>
  <si>
    <t>X-axis</t>
  </si>
  <si>
    <t>Bed &amp; Frame</t>
  </si>
  <si>
    <t>Thing 8</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</si>
  <si>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</si>
  <si>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</si>
  <si>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</si>
  <si>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</si>
  <si>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</si>
  <si>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</si>
  <si>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</si>
  <si>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</si>
  <si>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</si>
  <si>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</si>
  <si>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</si>
  <si>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</si>
  <si>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</si>
  <si>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</si>
  <si>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</si>
  <si>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Aaron Ramirez</t>
  </si>
  <si>
    <t>AER</t>
  </si>
  <si>
    <t>Modified worksheet to suit Aaron's design, added flexure compliance formula</t>
  </si>
  <si>
    <t>X stage</t>
  </si>
  <si>
    <t>Y stage</t>
  </si>
  <si>
    <t>Vise</t>
  </si>
  <si>
    <t>polymer</t>
  </si>
  <si>
    <t>cantilevered specimen</t>
  </si>
  <si>
    <t xml:space="preserve">cantilevered </t>
  </si>
  <si>
    <t>round</t>
  </si>
  <si>
    <r>
      <t xml:space="preserve">Height (Z direction) (mm) (or </t>
    </r>
    <r>
      <rPr>
        <b/>
        <sz val="12"/>
        <color theme="1"/>
        <rFont val="Calibri"/>
        <family val="2"/>
        <scheme val="minor"/>
      </rPr>
      <t>diameter</t>
    </r>
    <r>
      <rPr>
        <sz val="12"/>
        <color theme="1"/>
        <rFont val="Calibri"/>
        <family val="2"/>
        <scheme val="minor"/>
      </rPr>
      <t>)</t>
    </r>
  </si>
  <si>
    <t>Slice stage</t>
  </si>
  <si>
    <t>Flexural blade</t>
  </si>
  <si>
    <t>blade width (m)</t>
  </si>
  <si>
    <t>blade thickness (m)</t>
  </si>
  <si>
    <t>blade length (m)</t>
  </si>
  <si>
    <t>Young's modulus (Pa)</t>
  </si>
  <si>
    <t>blade separation, a (m)</t>
  </si>
  <si>
    <t>stage width, b (m)</t>
  </si>
  <si>
    <t>Out-of-plane section inertia (m^4)</t>
  </si>
  <si>
    <t>In-plane section inertia (m^4)</t>
  </si>
  <si>
    <t>Individual blade OOP stiffness (N/mm)</t>
  </si>
  <si>
    <t>Individual blade axial stiffness (N/mm)</t>
  </si>
  <si>
    <t>Individual in-plane blade stiffness (N/mm)</t>
  </si>
  <si>
    <t>Individual blade warp stiffness (N/mm)</t>
  </si>
  <si>
    <t>Individual blade bow stiffness (Nmm/rad)</t>
  </si>
  <si>
    <t>Individual blade twist stiffness (Nmm/rad)</t>
  </si>
  <si>
    <t>Stage Out of plane stiffness (N/mm)</t>
  </si>
  <si>
    <t>Stage Pitch stiffness</t>
  </si>
  <si>
    <t>Stage roll stiffness</t>
  </si>
  <si>
    <t>Stage Yaw stiffness</t>
  </si>
  <si>
    <t>4-blade flexure stage worksheet</t>
  </si>
  <si>
    <t>cantilevered</t>
  </si>
  <si>
    <t>Y column</t>
  </si>
  <si>
    <t>chunky block</t>
  </si>
  <si>
    <t>X Stage</t>
  </si>
  <si>
    <t>Workpiece</t>
  </si>
  <si>
    <t>Flex. Bearing</t>
  </si>
  <si>
    <t>Aluminum</t>
  </si>
  <si>
    <t>Flexure stage</t>
  </si>
  <si>
    <t>Y flexures</t>
  </si>
  <si>
    <t>ball bearing stage</t>
  </si>
  <si>
    <t>Shear correction for OOP stiffness</t>
  </si>
  <si>
    <t>Individual blade OOP stiffness, Euler-Bernoulli (N/mm) (don't use, overpredicts if not slender enough)</t>
  </si>
  <si>
    <t>Actual blade OOP stiffness (Timoshenko) (N/mm)</t>
  </si>
  <si>
    <t>Cantilevered specimen</t>
  </si>
  <si>
    <t>Column cantilever</t>
  </si>
  <si>
    <t>Drive system stiffness</t>
  </si>
  <si>
    <t>Leadscrew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</si>
</sst>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6"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family val="2"/>
      <scheme val="minor"/>
    </font>
    <font>
      <u/>
      <sz val="12"/>
      <color theme="10"/>
      <name val="Calibri"/>
      <family val="2"/>
      <scheme val="minor"/>
    </font>
    <font>
      <u/>
      <sz val="12"/>
      <color theme="11"/>
      <name val="Calibri"/>
      <family val="2"/>
      <scheme val="minor"/>
    </font>
    <font>
      <b/>
      <sz val="12"/>
      <color rgb="FFFF0000"/>
      <name val="Calibri"/>
      <family val="2"/>
      <scheme val="minor"/>
    </font>
    <font>
      <b/>
      <sz val="12"/>
      <name val="Calibri"/>
      <family val="2"/>
      <scheme val="minor"/>
    </font>
    <font>
      <b/>
      <i/>
      <sz val="12"/>
      <color theme="1"/>
      <name val="Calibri"/>
      <family val="2"/>
      <scheme val="minor"/>
    </font>
    <font>
      <sz val="12"/>
      <color theme="1"/>
      <name val="Calibri"/>
      <family val="2"/>
      <scheme val="minor"/>
    </font>
    <font>
      <b/>
      <sz val="12"/>
      <color rgb="FFFF0000"/>
      <name val="Calibri"/>
      <family val="2"/>
      <scheme val="minor"/>
    </font>
    <font>
      <b/>
      <sz val="16"/>
      <color rgb="FF0000FF"/>
      <name val="Calibri"/>
      <family val="2"/>
      <scheme val="minor"/>
    </font>
    <font>
      <b/>
      <sz val="18"/>
      <color rgb="FF0000FF"/>
      <name val="Calibri"/>
      <family val="2"/>
      <scheme val="minor"/>
    </font>
    <font>
      <b/>
      <i/>
      <sz val="12"/>
      <color rgb="FFFF0000"/>
      <name val="Calibri"/>
      <family val="2"/>
      <scheme val="minor"/>
    </font>
    <font>
      <b/>
      <sz val="20"/>
      <color theme="1"/>
      <name val="Calibri"/>
      <family val="2"/>
      <scheme val="minor"/>
    </font>
    <font>
      <b/>
      <sz val="20"/>
      <name val="Calibri"/>
      <family val="2"/>
      <scheme val="minor"/>
    </font>
    <font>
      <sz val="12"/>
      <color rgb="FF000000"/>
      <name val="Calibri"/>
      <family val="2"/>
      <scheme val="minor"/>
    </font>
    <font>
      <b/>
      <sz val="12"/>
      <color rgb="FF000000"/>
      <name val="Calibri"/>
      <family val="2"/>
      <scheme val="minor"/>
    </font>
    <font>
      <b/>
      <sz val="22"/>
      <color theme="1"/>
      <name val="Calibri"/>
      <family val="2"/>
      <scheme val="minor"/>
    </font>
    <font>
      <sz val="9"/>
      <color indexed="81"/>
      <name val="Calibri"/>
      <family val="2"/>
    </font>
    <font>
      <b/>
      <sz val="9"/>
      <color indexed="81"/>
      <name val="Calibri"/>
      <family val="2"/>
    </font>
    <font>
      <b/>
      <sz val="12"/>
      <name val="Calibri"/>
      <family val="2"/>
      <scheme val="minor"/>
    </font>
    <font>
      <sz val="12"/>
      <name val="Calibri"/>
      <family val="2"/>
      <scheme val="minor"/>
    </font>
    <font>
      <b/>
      <i/>
      <sz val="12"/>
      <color theme="1"/>
      <name val="Calibri"/>
      <family val="2"/>
      <scheme val="minor"/>
    </font>
    <font>
      <b/>
      <sz val="2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rgb="FF000000"/>
      </patternFill>
    </fill>
    <fill>
      <patternFill patternType="solid">
        <fgColor theme="3" tint="0.59999389629810485"/>
        <bgColor indexed="64"/>
      </patternFill>
    </fill>
    <fill>
      <patternFill patternType="solid">
        <fgColor theme="1" tint="0.499984740745262"/>
        <bgColor indexed="64"/>
      </patternFill>
    </fill>
    <fill>
      <patternFill patternType="solid">
        <fgColor theme="5" tint="0.59999389629810485"/>
        <bgColor indexed="64"/>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0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25">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0" xfId="0" applyFont="1" applyAlignment="1">
      <alignment vertical="center" wrapText="1"/>
    </xf>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 fontId="3" fillId="2" borderId="0" xfId="0" applyNumberFormat="1" applyFont="1" applyFill="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1" fontId="3" fillId="0" borderId="13" xfId="1038" applyNumberFormat="1" applyFont="1"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11" fontId="7" fillId="8" borderId="13" xfId="0" applyNumberFormat="1" applyFont="1" applyFill="1" applyBorder="1"/>
    <xf numFmtId="0" fontId="17" fillId="0" borderId="13" xfId="0" applyFont="1" applyBorder="1" applyAlignment="1">
      <alignment horizontal="left" indent="1"/>
    </xf>
    <xf numFmtId="0" fontId="17" fillId="0" borderId="13" xfId="0" applyFont="1" applyBorder="1" applyAlignment="1">
      <alignment horizontal="left"/>
    </xf>
    <xf numFmtId="9" fontId="18" fillId="0" borderId="13" xfId="0" applyNumberFormat="1" applyFont="1" applyBorder="1"/>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11" fontId="7" fillId="8" borderId="20" xfId="0" applyNumberFormat="1" applyFont="1" applyFill="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7" fillId="0" borderId="13" xfId="0" applyFont="1" applyBorder="1" applyAlignment="1">
      <alignment horizontal="right"/>
    </xf>
    <xf numFmtId="0" fontId="3" fillId="0" borderId="13" xfId="0" applyFont="1" applyBorder="1" applyAlignment="1">
      <alignment horizontal="center" vertical="center"/>
    </xf>
    <xf numFmtId="0" fontId="3" fillId="0" borderId="13" xfId="0" applyFont="1" applyBorder="1" applyAlignment="1">
      <alignment horizontal="left"/>
    </xf>
    <xf numFmtId="0" fontId="3" fillId="2" borderId="13" xfId="0" applyFont="1" applyFill="1" applyBorder="1" applyAlignment="1">
      <alignment horizontal="left" wrapText="1"/>
    </xf>
    <xf numFmtId="0" fontId="3" fillId="0" borderId="13" xfId="0" applyFont="1" applyBorder="1" applyAlignment="1">
      <alignment horizontal="center"/>
    </xf>
    <xf numFmtId="14" fontId="8" fillId="2" borderId="0" xfId="0" applyNumberFormat="1" applyFont="1" applyFill="1" applyAlignment="1">
      <alignment horizontal="center"/>
    </xf>
    <xf numFmtId="14" fontId="0" fillId="0" borderId="0" xfId="0" applyNumberFormat="1"/>
    <xf numFmtId="0" fontId="11" fillId="0" borderId="13" xfId="0" applyFont="1" applyBorder="1"/>
    <xf numFmtId="0" fontId="0" fillId="0" borderId="32" xfId="0" applyBorder="1" applyAlignment="1"/>
    <xf numFmtId="0" fontId="0" fillId="0" borderId="33" xfId="0" applyBorder="1" applyAlignment="1"/>
    <xf numFmtId="0" fontId="0" fillId="0" borderId="34" xfId="0" applyBorder="1" applyAlignment="1"/>
    <xf numFmtId="0" fontId="9" fillId="0" borderId="28" xfId="0" applyFont="1" applyBorder="1" applyAlignment="1"/>
    <xf numFmtId="0" fontId="9" fillId="0" borderId="29" xfId="0" applyFont="1" applyBorder="1" applyAlignment="1"/>
    <xf numFmtId="0" fontId="9" fillId="0" borderId="30" xfId="0" applyFont="1" applyBorder="1" applyAlignment="1"/>
    <xf numFmtId="0" fontId="17" fillId="0" borderId="32" xfId="0" applyFont="1" applyBorder="1" applyAlignment="1"/>
    <xf numFmtId="0" fontId="17" fillId="0" borderId="33" xfId="0" applyFont="1" applyBorder="1" applyAlignment="1"/>
    <xf numFmtId="0" fontId="17" fillId="0" borderId="34" xfId="0" applyFont="1" applyBorder="1" applyAlignment="1"/>
    <xf numFmtId="0" fontId="3" fillId="9" borderId="13" xfId="0" applyFont="1" applyFill="1" applyBorder="1"/>
    <xf numFmtId="0" fontId="3" fillId="9" borderId="17" xfId="0" applyFont="1" applyFill="1" applyBorder="1"/>
    <xf numFmtId="0" fontId="0" fillId="9" borderId="13" xfId="0" applyFill="1" applyBorder="1" applyAlignment="1">
      <alignment horizontal="left" indent="1"/>
    </xf>
    <xf numFmtId="0" fontId="7" fillId="9" borderId="17" xfId="0" applyFont="1" applyFill="1" applyBorder="1"/>
    <xf numFmtId="1" fontId="11" fillId="9" borderId="13" xfId="0" applyNumberFormat="1" applyFont="1" applyFill="1" applyBorder="1"/>
    <xf numFmtId="1" fontId="7" fillId="9" borderId="13" xfId="0" applyNumberFormat="1" applyFont="1" applyFill="1" applyBorder="1"/>
    <xf numFmtId="0" fontId="3" fillId="9" borderId="13" xfId="0" applyFont="1" applyFill="1" applyBorder="1" applyAlignment="1">
      <alignment horizontal="left"/>
    </xf>
    <xf numFmtId="0" fontId="0" fillId="9" borderId="13" xfId="0" applyFill="1" applyBorder="1" applyAlignment="1">
      <alignment horizontal="left"/>
    </xf>
    <xf numFmtId="0" fontId="3" fillId="9" borderId="13" xfId="0" applyFont="1" applyFill="1" applyBorder="1" applyAlignment="1">
      <alignment horizontal="center"/>
    </xf>
    <xf numFmtId="11" fontId="3" fillId="9" borderId="13" xfId="0" applyNumberFormat="1" applyFont="1" applyFill="1" applyBorder="1"/>
    <xf numFmtId="11" fontId="7" fillId="9" borderId="13" xfId="0" applyNumberFormat="1" applyFont="1" applyFill="1" applyBorder="1"/>
    <xf numFmtId="0" fontId="0" fillId="9" borderId="14" xfId="0" applyFill="1" applyBorder="1" applyAlignment="1">
      <alignment horizontal="left" indent="1"/>
    </xf>
    <xf numFmtId="0" fontId="3" fillId="9" borderId="14" xfId="0" applyFont="1" applyFill="1" applyBorder="1"/>
    <xf numFmtId="0" fontId="7" fillId="9" borderId="13" xfId="0" applyFont="1" applyFill="1" applyBorder="1"/>
    <xf numFmtId="11" fontId="11" fillId="2" borderId="13" xfId="0" applyNumberFormat="1" applyFont="1" applyFill="1" applyBorder="1"/>
    <xf numFmtId="0" fontId="11" fillId="2" borderId="13" xfId="0" applyFont="1" applyFill="1" applyBorder="1"/>
    <xf numFmtId="11" fontId="11" fillId="5" borderId="13" xfId="0" applyNumberFormat="1" applyFont="1" applyFill="1" applyBorder="1"/>
    <xf numFmtId="0" fontId="11" fillId="3" borderId="13" xfId="0" applyFont="1" applyFill="1" applyBorder="1"/>
    <xf numFmtId="11" fontId="11" fillId="3" borderId="13" xfId="0" applyNumberFormat="1" applyFont="1" applyFill="1" applyBorder="1"/>
    <xf numFmtId="11" fontId="22" fillId="0" borderId="13" xfId="0" applyNumberFormat="1" applyFont="1" applyFill="1" applyBorder="1"/>
    <xf numFmtId="0" fontId="23" fillId="0" borderId="13" xfId="0" applyFont="1" applyFill="1" applyBorder="1"/>
    <xf numFmtId="11" fontId="11" fillId="0" borderId="13" xfId="0" applyNumberFormat="1" applyFont="1" applyFill="1" applyBorder="1"/>
    <xf numFmtId="0" fontId="11" fillId="3" borderId="13" xfId="0" applyFont="1" applyFill="1" applyBorder="1" applyAlignment="1">
      <alignment horizontal="center"/>
    </xf>
    <xf numFmtId="16" fontId="0" fillId="0" borderId="13" xfId="0" applyNumberFormat="1" applyBorder="1"/>
    <xf numFmtId="0" fontId="0" fillId="10" borderId="0" xfId="0" applyFill="1"/>
    <xf numFmtId="11" fontId="22" fillId="0" borderId="13" xfId="0" applyNumberFormat="1" applyFont="1" applyBorder="1"/>
    <xf numFmtId="1" fontId="22" fillId="0" borderId="24" xfId="0" applyNumberFormat="1" applyFont="1" applyBorder="1" applyAlignment="1"/>
    <xf numFmtId="0" fontId="3" fillId="0" borderId="0" xfId="0" applyFont="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3" fillId="3" borderId="13" xfId="0" applyFont="1" applyFill="1" applyBorder="1" applyAlignment="1">
      <alignment horizontal="center"/>
    </xf>
    <xf numFmtId="0" fontId="9"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4" borderId="0" xfId="0" applyFont="1" applyFill="1" applyAlignment="1">
      <alignment horizontal="center"/>
    </xf>
    <xf numFmtId="0" fontId="9" fillId="4" borderId="0" xfId="0" applyFont="1" applyFill="1" applyAlignment="1">
      <alignment horizontal="center"/>
    </xf>
    <xf numFmtId="0" fontId="12" fillId="0" borderId="0" xfId="0" applyFont="1" applyAlignment="1">
      <alignment horizontal="center" vertical="center" wrapText="1"/>
    </xf>
    <xf numFmtId="0" fontId="3" fillId="0" borderId="0" xfId="0" applyFont="1" applyAlignment="1">
      <alignment horizontal="center" wrapText="1"/>
    </xf>
    <xf numFmtId="0" fontId="13" fillId="0" borderId="0" xfId="0" applyFont="1" applyAlignment="1">
      <alignment horizontal="center" vertical="center" wrapText="1"/>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25" fillId="2" borderId="14" xfId="0" applyFont="1" applyFill="1" applyBorder="1" applyAlignment="1">
      <alignment horizontal="center" vertical="center" textRotation="90" wrapText="1"/>
    </xf>
    <xf numFmtId="0" fontId="0" fillId="0" borderId="0" xfId="0" applyAlignment="1">
      <alignment horizontal="center" wrapText="1"/>
    </xf>
    <xf numFmtId="0" fontId="25"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3" fillId="0" borderId="13" xfId="0" applyFont="1" applyBorder="1" applyAlignment="1">
      <alignment horizontal="center" vertical="center"/>
    </xf>
    <xf numFmtId="0" fontId="18" fillId="0" borderId="13" xfId="0" applyFont="1" applyBorder="1" applyAlignment="1">
      <alignment horizontal="center" vertical="center"/>
    </xf>
    <xf numFmtId="0" fontId="18" fillId="0" borderId="20" xfId="0" applyFont="1" applyBorder="1" applyAlignment="1">
      <alignment horizontal="center" vertic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24" fillId="0" borderId="13" xfId="0" applyFont="1" applyBorder="1" applyAlignment="1">
      <alignment horizontal="center"/>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24" fillId="0" borderId="28" xfId="0" applyFont="1" applyBorder="1" applyAlignment="1">
      <alignment horizontal="center"/>
    </xf>
    <xf numFmtId="0" fontId="24" fillId="0" borderId="29" xfId="0" applyFont="1" applyBorder="1" applyAlignment="1">
      <alignment horizontal="center"/>
    </xf>
    <xf numFmtId="0" fontId="24" fillId="0" borderId="30" xfId="0" applyFont="1" applyBorder="1" applyAlignment="1">
      <alignment horizont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3" fillId="11" borderId="13" xfId="0" applyFont="1" applyFill="1" applyBorder="1"/>
    <xf numFmtId="0" fontId="3" fillId="11" borderId="17" xfId="0" applyFont="1" applyFill="1" applyBorder="1"/>
    <xf numFmtId="0" fontId="0" fillId="11" borderId="13" xfId="0" applyFill="1" applyBorder="1" applyAlignment="1">
      <alignment horizontal="left" indent="1"/>
    </xf>
    <xf numFmtId="0" fontId="7" fillId="11" borderId="17" xfId="0" applyFont="1" applyFill="1" applyBorder="1"/>
    <xf numFmtId="1" fontId="11" fillId="11" borderId="13" xfId="0" applyNumberFormat="1" applyFont="1" applyFill="1" applyBorder="1"/>
    <xf numFmtId="1" fontId="7" fillId="11" borderId="13" xfId="0" applyNumberFormat="1" applyFont="1" applyFill="1" applyBorder="1"/>
    <xf numFmtId="0" fontId="3" fillId="11" borderId="13" xfId="0" applyFont="1" applyFill="1" applyBorder="1" applyAlignment="1">
      <alignment horizontal="left"/>
    </xf>
    <xf numFmtId="0" fontId="0" fillId="11" borderId="13" xfId="0" applyFill="1" applyBorder="1" applyAlignment="1">
      <alignment horizontal="left"/>
    </xf>
    <xf numFmtId="11" fontId="3" fillId="11" borderId="13" xfId="0" applyNumberFormat="1" applyFont="1" applyFill="1" applyBorder="1"/>
    <xf numFmtId="11" fontId="7" fillId="11" borderId="13" xfId="0" applyNumberFormat="1" applyFont="1" applyFill="1" applyBorder="1"/>
    <xf numFmtId="0" fontId="0" fillId="11" borderId="14" xfId="0" applyFill="1" applyBorder="1" applyAlignment="1">
      <alignment horizontal="left" indent="1"/>
    </xf>
    <xf numFmtId="0" fontId="3" fillId="11" borderId="14" xfId="0" applyFont="1" applyFill="1" applyBorder="1"/>
    <xf numFmtId="1" fontId="7" fillId="11" borderId="17" xfId="0" applyNumberFormat="1" applyFont="1" applyFill="1" applyBorder="1"/>
    <xf numFmtId="0" fontId="8" fillId="11" borderId="17" xfId="0" applyFont="1" applyFill="1" applyBorder="1"/>
    <xf numFmtId="0" fontId="0" fillId="11" borderId="13" xfId="0" applyFill="1" applyBorder="1" applyAlignment="1"/>
    <xf numFmtId="0" fontId="11" fillId="11" borderId="17" xfId="0" applyFont="1" applyFill="1" applyBorder="1"/>
    <xf numFmtId="0" fontId="3" fillId="11" borderId="13" xfId="0" applyFont="1" applyFill="1" applyBorder="1" applyAlignment="1">
      <alignment horizontal="center"/>
    </xf>
    <xf numFmtId="11" fontId="11" fillId="11" borderId="13" xfId="0" applyNumberFormat="1" applyFont="1" applyFill="1" applyBorder="1"/>
    <xf numFmtId="0" fontId="11" fillId="2" borderId="13" xfId="0" applyNumberFormat="1" applyFont="1" applyFill="1" applyBorder="1" applyAlignment="1">
      <alignment horizontal="center"/>
    </xf>
    <xf numFmtId="0" fontId="11" fillId="2" borderId="20" xfId="0" applyNumberFormat="1" applyFont="1" applyFill="1" applyBorder="1" applyAlignment="1">
      <alignment horizontal="center"/>
    </xf>
    <xf numFmtId="11" fontId="4" fillId="0" borderId="13" xfId="0" applyNumberFormat="1" applyFont="1" applyBorder="1"/>
    <xf numFmtId="11" fontId="0" fillId="0" borderId="20" xfId="0" applyNumberFormat="1" applyBorder="1"/>
    <xf numFmtId="11" fontId="7" fillId="0" borderId="20" xfId="0" applyNumberFormat="1" applyFont="1" applyFill="1" applyBorder="1"/>
    <xf numFmtId="168" fontId="7" fillId="0" borderId="13" xfId="0" applyNumberFormat="1" applyFont="1" applyFill="1" applyBorder="1"/>
    <xf numFmtId="11" fontId="17" fillId="0" borderId="13" xfId="0" applyNumberFormat="1" applyFont="1" applyBorder="1"/>
    <xf numFmtId="11" fontId="3" fillId="0" borderId="13" xfId="0" applyNumberFormat="1" applyFont="1" applyFill="1" applyBorder="1"/>
    <xf numFmtId="0" fontId="0" fillId="0" borderId="14" xfId="0" applyFill="1" applyBorder="1" applyAlignment="1">
      <alignment horizontal="left" indent="1"/>
    </xf>
    <xf numFmtId="0" fontId="3" fillId="0" borderId="14" xfId="0" applyFont="1" applyFill="1" applyBorder="1"/>
  </cellXfs>
  <cellStyles count="1209">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emf"/><Relationship Id="rId1" Type="http://schemas.openxmlformats.org/officeDocument/2006/relationships/image" Target="../media/image6.wmf"/><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gif"/></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269875</xdr:colOff>
      <xdr:row>11</xdr:row>
      <xdr:rowOff>22225</xdr:rowOff>
    </xdr:from>
    <xdr:to>
      <xdr:col>16</xdr:col>
      <xdr:colOff>15875</xdr:colOff>
      <xdr:row>22</xdr:row>
      <xdr:rowOff>32079</xdr:rowOff>
    </xdr:to>
    <xdr:grpSp>
      <xdr:nvGrpSpPr>
        <xdr:cNvPr id="5" name="Group 4"/>
        <xdr:cNvGrpSpPr/>
      </xdr:nvGrpSpPr>
      <xdr:grpSpPr>
        <a:xfrm>
          <a:off x="14262100" y="2241550"/>
          <a:ext cx="2346325" cy="2238704"/>
          <a:chOff x="2438400" y="1523999"/>
          <a:chExt cx="3657600" cy="3807153"/>
        </a:xfrm>
      </xdr:grpSpPr>
      <xdr:sp macro="" textlink="">
        <xdr:nvSpPr>
          <xdr:cNvPr id="6" name="Rectangle 5"/>
          <xdr:cNvSpPr/>
        </xdr:nvSpPr>
        <xdr:spPr>
          <a:xfrm>
            <a:off x="3352800" y="2514600"/>
            <a:ext cx="1828800" cy="1828800"/>
          </a:xfrm>
          <a:prstGeom prst="rect">
            <a:avLst/>
          </a:prstGeom>
          <a:solidFill>
            <a:schemeClr val="bg2">
              <a:lumMod val="7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 name="Straight Connector 6"/>
          <xdr:cNvCxnSpPr/>
        </xdr:nvCxnSpPr>
        <xdr:spPr>
          <a:xfrm flipV="1">
            <a:off x="3352801" y="1597351"/>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flipV="1">
            <a:off x="5181601" y="1597351"/>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flipV="1">
            <a:off x="5181600" y="4343400"/>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flipV="1">
            <a:off x="3352801" y="4343400"/>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438400" y="3429000"/>
            <a:ext cx="36576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3238500" y="1597350"/>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3276600" y="5260649"/>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flipV="1">
            <a:off x="32385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flipV="1">
            <a:off x="34671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flipV="1">
            <a:off x="3695699"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flipV="1">
            <a:off x="39624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flipV="1">
            <a:off x="41910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flipV="1">
            <a:off x="4419599"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flipV="1">
            <a:off x="4719638"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flipV="1">
            <a:off x="4948238"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flipV="1">
            <a:off x="5176837"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grpSp>
        <xdr:nvGrpSpPr>
          <xdr:cNvPr id="23" name="Group 22"/>
          <xdr:cNvGrpSpPr/>
        </xdr:nvGrpSpPr>
        <xdr:grpSpPr>
          <a:xfrm flipV="1">
            <a:off x="3276600" y="5257800"/>
            <a:ext cx="2057400" cy="73352"/>
            <a:chOff x="3276600" y="5186829"/>
            <a:chExt cx="2057400" cy="73352"/>
          </a:xfrm>
        </xdr:grpSpPr>
        <xdr:cxnSp macro="">
          <xdr:nvCxnSpPr>
            <xdr:cNvPr id="28" name="Straight Connector 27"/>
            <xdr:cNvCxnSpPr/>
          </xdr:nvCxnSpPr>
          <xdr:spPr>
            <a:xfrm flipV="1">
              <a:off x="3276600" y="5260181"/>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flipV="1">
              <a:off x="32766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flipV="1">
              <a:off x="35052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flipV="1">
              <a:off x="3733799"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flipV="1">
              <a:off x="40005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flipV="1">
              <a:off x="42291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xdr:cNvCxnSpPr/>
          </xdr:nvCxnSpPr>
          <xdr:spPr>
            <a:xfrm flipV="1">
              <a:off x="4457699"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xdr:cNvCxnSpPr/>
          </xdr:nvCxnSpPr>
          <xdr:spPr>
            <a:xfrm flipV="1">
              <a:off x="4757738"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flipV="1">
              <a:off x="4986338"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flipV="1">
              <a:off x="5214937"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24" name="Straight Arrow Connector 23"/>
          <xdr:cNvCxnSpPr/>
        </xdr:nvCxnSpPr>
        <xdr:spPr>
          <a:xfrm>
            <a:off x="3338513" y="2286000"/>
            <a:ext cx="1824037" cy="0"/>
          </a:xfrm>
          <a:prstGeom prst="straightConnector1">
            <a:avLst/>
          </a:prstGeom>
          <a:ln w="1270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TextBox 35"/>
          <xdr:cNvSpPr txBox="1"/>
        </xdr:nvSpPr>
        <xdr:spPr>
          <a:xfrm>
            <a:off x="3962400" y="1981200"/>
            <a:ext cx="26670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accent1"/>
                </a:solidFill>
              </a:rPr>
              <a:t>a</a:t>
            </a:r>
          </a:p>
        </xdr:txBody>
      </xdr:sp>
      <xdr:cxnSp macro="">
        <xdr:nvCxnSpPr>
          <xdr:cNvPr id="26" name="Straight Arrow Connector 25"/>
          <xdr:cNvCxnSpPr/>
        </xdr:nvCxnSpPr>
        <xdr:spPr>
          <a:xfrm>
            <a:off x="5329237" y="2514600"/>
            <a:ext cx="0" cy="1828799"/>
          </a:xfrm>
          <a:prstGeom prst="straightConnector1">
            <a:avLst/>
          </a:prstGeom>
          <a:ln w="1270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Box 38"/>
          <xdr:cNvSpPr txBox="1"/>
        </xdr:nvSpPr>
        <xdr:spPr>
          <a:xfrm>
            <a:off x="5343524" y="2895600"/>
            <a:ext cx="26670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accent1"/>
                </a:solidFill>
              </a:rPr>
              <a:t>b</a:t>
            </a:r>
          </a:p>
        </xdr:txBody>
      </xdr:sp>
    </xdr:grpSp>
    <xdr:clientData/>
  </xdr:twoCellAnchor>
  <xdr:twoCellAnchor>
    <xdr:from>
      <xdr:col>16</xdr:col>
      <xdr:colOff>152400</xdr:colOff>
      <xdr:row>1</xdr:row>
      <xdr:rowOff>133350</xdr:rowOff>
    </xdr:from>
    <xdr:to>
      <xdr:col>22</xdr:col>
      <xdr:colOff>283430</xdr:colOff>
      <xdr:row>19</xdr:row>
      <xdr:rowOff>171450</xdr:rowOff>
    </xdr:to>
    <xdr:grpSp>
      <xdr:nvGrpSpPr>
        <xdr:cNvPr id="39" name="Group 38"/>
        <xdr:cNvGrpSpPr/>
      </xdr:nvGrpSpPr>
      <xdr:grpSpPr>
        <a:xfrm>
          <a:off x="16744950" y="333375"/>
          <a:ext cx="5160230" cy="3657600"/>
          <a:chOff x="7077075" y="990600"/>
          <a:chExt cx="5160230" cy="3657600"/>
        </a:xfrm>
      </xdr:grpSpPr>
      <xdr:pic>
        <xdr:nvPicPr>
          <xdr:cNvPr id="40" name="Picture 39"/>
          <xdr:cNvPicPr>
            <a:picLocks noChangeAspect="1"/>
          </xdr:cNvPicPr>
        </xdr:nvPicPr>
        <xdr:blipFill>
          <a:blip xmlns:r="http://schemas.openxmlformats.org/officeDocument/2006/relationships" r:embed="rId1"/>
          <a:stretch>
            <a:fillRect/>
          </a:stretch>
        </xdr:blipFill>
        <xdr:spPr>
          <a:xfrm>
            <a:off x="7077075" y="990600"/>
            <a:ext cx="5160230" cy="3657600"/>
          </a:xfrm>
          <a:prstGeom prst="rect">
            <a:avLst/>
          </a:prstGeom>
        </xdr:spPr>
      </xdr:pic>
      <xdr:grpSp>
        <xdr:nvGrpSpPr>
          <xdr:cNvPr id="41" name="Group 40"/>
          <xdr:cNvGrpSpPr/>
        </xdr:nvGrpSpPr>
        <xdr:grpSpPr>
          <a:xfrm>
            <a:off x="10191750" y="2638425"/>
            <a:ext cx="990600" cy="981075"/>
            <a:chOff x="10191750" y="2638425"/>
            <a:chExt cx="990600" cy="981075"/>
          </a:xfrm>
        </xdr:grpSpPr>
        <xdr:grpSp>
          <xdr:nvGrpSpPr>
            <xdr:cNvPr id="42" name="Group 41"/>
            <xdr:cNvGrpSpPr/>
          </xdr:nvGrpSpPr>
          <xdr:grpSpPr>
            <a:xfrm>
              <a:off x="10191750" y="2667000"/>
              <a:ext cx="781050" cy="714375"/>
              <a:chOff x="10191750" y="2667000"/>
              <a:chExt cx="781050" cy="714375"/>
            </a:xfrm>
          </xdr:grpSpPr>
          <xdr:cxnSp macro="">
            <xdr:nvCxnSpPr>
              <xdr:cNvPr id="46" name="Straight Arrow Connector 45"/>
              <xdr:cNvCxnSpPr/>
            </xdr:nvCxnSpPr>
            <xdr:spPr>
              <a:xfrm>
                <a:off x="10563225" y="3133725"/>
                <a:ext cx="409575"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7" name="Straight Arrow Connector 46"/>
              <xdr:cNvCxnSpPr/>
            </xdr:nvCxnSpPr>
            <xdr:spPr>
              <a:xfrm flipV="1">
                <a:off x="10572750" y="2667000"/>
                <a:ext cx="9525" cy="476251"/>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xdr:cNvCxnSpPr/>
            </xdr:nvCxnSpPr>
            <xdr:spPr>
              <a:xfrm flipH="1">
                <a:off x="10191750" y="3143250"/>
                <a:ext cx="38100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43" name="TextBox 42"/>
            <xdr:cNvSpPr txBox="1"/>
          </xdr:nvSpPr>
          <xdr:spPr>
            <a:xfrm>
              <a:off x="10963275" y="3095625"/>
              <a:ext cx="2190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n>
                    <a:noFill/>
                  </a:ln>
                  <a:solidFill>
                    <a:srgbClr val="FF0000"/>
                  </a:solidFill>
                </a:rPr>
                <a:t>X</a:t>
              </a:r>
              <a:endParaRPr lang="en-US" sz="1100">
                <a:ln>
                  <a:noFill/>
                </a:ln>
                <a:solidFill>
                  <a:srgbClr val="FF0000"/>
                </a:solidFill>
              </a:endParaRPr>
            </a:p>
          </xdr:txBody>
        </xdr:sp>
        <xdr:sp macro="" textlink="">
          <xdr:nvSpPr>
            <xdr:cNvPr id="44" name="TextBox 43"/>
            <xdr:cNvSpPr txBox="1"/>
          </xdr:nvSpPr>
          <xdr:spPr>
            <a:xfrm>
              <a:off x="10563225" y="2638425"/>
              <a:ext cx="2190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n>
                    <a:noFill/>
                  </a:ln>
                  <a:solidFill>
                    <a:srgbClr val="FF0000"/>
                  </a:solidFill>
                </a:rPr>
                <a:t>Y</a:t>
              </a:r>
              <a:endParaRPr lang="en-US" sz="1100">
                <a:ln>
                  <a:noFill/>
                </a:ln>
                <a:solidFill>
                  <a:srgbClr val="FF0000"/>
                </a:solidFill>
              </a:endParaRPr>
            </a:p>
          </xdr:txBody>
        </xdr:sp>
        <xdr:sp macro="" textlink="">
          <xdr:nvSpPr>
            <xdr:cNvPr id="45" name="TextBox 44"/>
            <xdr:cNvSpPr txBox="1"/>
          </xdr:nvSpPr>
          <xdr:spPr>
            <a:xfrm>
              <a:off x="10201275" y="3324225"/>
              <a:ext cx="2190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n>
                    <a:noFill/>
                  </a:ln>
                  <a:solidFill>
                    <a:srgbClr val="FF0000"/>
                  </a:solidFill>
                </a:rPr>
                <a:t>Z</a:t>
              </a:r>
              <a:endParaRPr lang="en-US" sz="1100">
                <a:ln>
                  <a:noFill/>
                </a:ln>
                <a:solidFill>
                  <a:srgbClr val="FF0000"/>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215347</xdr:colOff>
      <xdr:row>11</xdr:row>
      <xdr:rowOff>66260</xdr:rowOff>
    </xdr:from>
    <xdr:to>
      <xdr:col>12</xdr:col>
      <xdr:colOff>604134</xdr:colOff>
      <xdr:row>23</xdr:row>
      <xdr:rowOff>28014</xdr:rowOff>
    </xdr:to>
    <xdr:grpSp>
      <xdr:nvGrpSpPr>
        <xdr:cNvPr id="5" name="Group 4"/>
        <xdr:cNvGrpSpPr/>
      </xdr:nvGrpSpPr>
      <xdr:grpSpPr>
        <a:xfrm>
          <a:off x="12705521" y="2269434"/>
          <a:ext cx="1863091" cy="2554210"/>
          <a:chOff x="3692841" y="2608340"/>
          <a:chExt cx="1863091" cy="2554210"/>
        </a:xfrm>
      </xdr:grpSpPr>
      <xdr:sp macro="" textlink="">
        <xdr:nvSpPr>
          <xdr:cNvPr id="6" name="Rectangle 5"/>
          <xdr:cNvSpPr/>
        </xdr:nvSpPr>
        <xdr:spPr>
          <a:xfrm>
            <a:off x="3829050" y="4057650"/>
            <a:ext cx="1352550" cy="1104900"/>
          </a:xfrm>
          <a:prstGeom prst="rect">
            <a:avLst/>
          </a:prstGeom>
          <a:solidFill>
            <a:schemeClr val="bg2">
              <a:lumMod val="75000"/>
            </a:schemeClr>
          </a:solidFill>
          <a:ln>
            <a:noFill/>
          </a:ln>
          <a:scene3d>
            <a:camera prst="isometricTopUp"/>
            <a:lightRig rig="threePt" dir="t"/>
          </a:scene3d>
          <a:sp3d extrusionH="1905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 name="Rectangle 6"/>
          <xdr:cNvSpPr/>
        </xdr:nvSpPr>
        <xdr:spPr>
          <a:xfrm>
            <a:off x="4386262" y="3276600"/>
            <a:ext cx="238125" cy="552450"/>
          </a:xfrm>
          <a:prstGeom prst="rect">
            <a:avLst/>
          </a:prstGeom>
          <a:scene3d>
            <a:camera prst="isometricTopUp"/>
            <a:lightRig rig="threePt" dir="t"/>
          </a:scene3d>
          <a:sp3d extrusionH="12954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8" name="Group 7"/>
          <xdr:cNvGrpSpPr/>
        </xdr:nvGrpSpPr>
        <xdr:grpSpPr>
          <a:xfrm>
            <a:off x="3692841" y="2608340"/>
            <a:ext cx="1863091" cy="1335010"/>
            <a:chOff x="3852807" y="2795949"/>
            <a:chExt cx="1863091" cy="1335010"/>
          </a:xfrm>
        </xdr:grpSpPr>
        <xdr:cxnSp macro="">
          <xdr:nvCxnSpPr>
            <xdr:cNvPr id="9" name="Straight Arrow Connector 8"/>
            <xdr:cNvCxnSpPr/>
          </xdr:nvCxnSpPr>
          <xdr:spPr>
            <a:xfrm>
              <a:off x="4724849" y="3691027"/>
              <a:ext cx="619125" cy="36662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xdr:cNvCxnSpPr/>
          </xdr:nvCxnSpPr>
          <xdr:spPr>
            <a:xfrm flipV="1">
              <a:off x="4724849" y="3006157"/>
              <a:ext cx="0" cy="684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xdr:cNvCxnSpPr/>
          </xdr:nvCxnSpPr>
          <xdr:spPr>
            <a:xfrm flipH="1">
              <a:off x="4076589" y="3687943"/>
              <a:ext cx="648260" cy="36970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TextBox 11"/>
            <xdr:cNvSpPr txBox="1"/>
          </xdr:nvSpPr>
          <xdr:spPr>
            <a:xfrm>
              <a:off x="5297247" y="3761627"/>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X</a:t>
              </a:r>
            </a:p>
          </xdr:txBody>
        </xdr:sp>
        <xdr:sp macro="" textlink="">
          <xdr:nvSpPr>
            <xdr:cNvPr id="13" name="TextBox 12"/>
            <xdr:cNvSpPr txBox="1"/>
          </xdr:nvSpPr>
          <xdr:spPr>
            <a:xfrm>
              <a:off x="4772251" y="2795949"/>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Y</a:t>
              </a:r>
            </a:p>
          </xdr:txBody>
        </xdr:sp>
        <xdr:sp macro="" textlink="">
          <xdr:nvSpPr>
            <xdr:cNvPr id="14" name="TextBox 13"/>
            <xdr:cNvSpPr txBox="1"/>
          </xdr:nvSpPr>
          <xdr:spPr>
            <a:xfrm>
              <a:off x="3852807" y="3688318"/>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Z</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528799</xdr:colOff>
      <xdr:row>3</xdr:row>
      <xdr:rowOff>74545</xdr:rowOff>
    </xdr:from>
    <xdr:to>
      <xdr:col>23</xdr:col>
      <xdr:colOff>789425</xdr:colOff>
      <xdr:row>12</xdr:row>
      <xdr:rowOff>133995</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70" b="56447"/>
        <a:stretch/>
      </xdr:blipFill>
      <xdr:spPr bwMode="auto">
        <a:xfrm>
          <a:off x="20804625" y="679175"/>
          <a:ext cx="6116430" cy="1856777"/>
        </a:xfrm>
        <a:prstGeom prst="rect">
          <a:avLst/>
        </a:prstGeom>
        <a:noFill/>
        <a:ln>
          <a:noFill/>
        </a:ln>
        <a:extLst>
          <a:ext uri="{53640926-AAD7-44d8-BBD7-CCE9431645EC}">
            <a14:shadowObscured xmlns="" xmlns:a14="http://schemas.microsoft.com/office/drawing/2010/main"/>
          </a:ext>
        </a:extLst>
      </xdr:spPr>
    </xdr:pic>
    <xdr:clientData/>
  </xdr:twoCellAnchor>
  <xdr:twoCellAnchor>
    <xdr:from>
      <xdr:col>8</xdr:col>
      <xdr:colOff>0</xdr:colOff>
      <xdr:row>11</xdr:row>
      <xdr:rowOff>0</xdr:rowOff>
    </xdr:from>
    <xdr:to>
      <xdr:col>10</xdr:col>
      <xdr:colOff>498613</xdr:colOff>
      <xdr:row>22</xdr:row>
      <xdr:rowOff>79980</xdr:rowOff>
    </xdr:to>
    <xdr:grpSp>
      <xdr:nvGrpSpPr>
        <xdr:cNvPr id="4" name="Group 3"/>
        <xdr:cNvGrpSpPr/>
      </xdr:nvGrpSpPr>
      <xdr:grpSpPr>
        <a:xfrm>
          <a:off x="13192125" y="2219325"/>
          <a:ext cx="2175013" cy="2299305"/>
          <a:chOff x="2438400" y="1523999"/>
          <a:chExt cx="3657600" cy="3807153"/>
        </a:xfrm>
      </xdr:grpSpPr>
      <xdr:sp macro="" textlink="">
        <xdr:nvSpPr>
          <xdr:cNvPr id="6" name="Rectangle 5"/>
          <xdr:cNvSpPr/>
        </xdr:nvSpPr>
        <xdr:spPr>
          <a:xfrm>
            <a:off x="3352800" y="2514600"/>
            <a:ext cx="1828800" cy="1828800"/>
          </a:xfrm>
          <a:prstGeom prst="rect">
            <a:avLst/>
          </a:prstGeom>
          <a:solidFill>
            <a:schemeClr val="bg2">
              <a:lumMod val="7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 name="Straight Connector 6"/>
          <xdr:cNvCxnSpPr/>
        </xdr:nvCxnSpPr>
        <xdr:spPr>
          <a:xfrm flipV="1">
            <a:off x="3352801" y="1597351"/>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flipV="1">
            <a:off x="5181601" y="1597351"/>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flipV="1">
            <a:off x="5181600" y="4343400"/>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flipV="1">
            <a:off x="3352801" y="4343400"/>
            <a:ext cx="0" cy="917249"/>
          </a:xfrm>
          <a:prstGeom prst="line">
            <a:avLst/>
          </a:prstGeom>
          <a:ln w="25400" cap="rnd">
            <a:solidFill>
              <a:schemeClr val="tx1"/>
            </a:solidFill>
            <a:headEnd type="oval"/>
            <a:tailEnd type="ova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438400" y="3429000"/>
            <a:ext cx="365760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3238500" y="1597350"/>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3276600" y="5260649"/>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flipV="1">
            <a:off x="32385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flipV="1">
            <a:off x="34671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flipV="1">
            <a:off x="3695699"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flipV="1">
            <a:off x="39624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flipV="1">
            <a:off x="4191000"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flipV="1">
            <a:off x="4419599"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flipV="1">
            <a:off x="4719638"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flipV="1">
            <a:off x="4948238" y="152400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flipV="1">
            <a:off x="5176837" y="152399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grpSp>
        <xdr:nvGrpSpPr>
          <xdr:cNvPr id="23" name="Group 22"/>
          <xdr:cNvGrpSpPr/>
        </xdr:nvGrpSpPr>
        <xdr:grpSpPr>
          <a:xfrm flipV="1">
            <a:off x="3276600" y="5257800"/>
            <a:ext cx="2057400" cy="73352"/>
            <a:chOff x="3276600" y="5186829"/>
            <a:chExt cx="2057400" cy="73352"/>
          </a:xfrm>
        </xdr:grpSpPr>
        <xdr:cxnSp macro="">
          <xdr:nvCxnSpPr>
            <xdr:cNvPr id="28" name="Straight Connector 27"/>
            <xdr:cNvCxnSpPr/>
          </xdr:nvCxnSpPr>
          <xdr:spPr>
            <a:xfrm flipV="1">
              <a:off x="3276600" y="5260181"/>
              <a:ext cx="2057400" cy="0"/>
            </a:xfrm>
            <a:prstGeom prst="line">
              <a:avLst/>
            </a:prstGeom>
            <a:ln w="19050" cap="rnd">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flipV="1">
              <a:off x="32766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flipV="1">
              <a:off x="35052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flipV="1">
              <a:off x="3733799"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flipV="1">
              <a:off x="40005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flipV="1">
              <a:off x="4229100"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xdr:cNvCxnSpPr/>
          </xdr:nvCxnSpPr>
          <xdr:spPr>
            <a:xfrm flipV="1">
              <a:off x="4457699"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xdr:cNvCxnSpPr/>
          </xdr:nvCxnSpPr>
          <xdr:spPr>
            <a:xfrm flipV="1">
              <a:off x="4757738"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flipV="1">
              <a:off x="4986338" y="5186830"/>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flipV="1">
              <a:off x="5214937" y="5186829"/>
              <a:ext cx="114300" cy="73351"/>
            </a:xfrm>
            <a:prstGeom prst="line">
              <a:avLst/>
            </a:prstGeom>
            <a:ln w="12700" cap="rnd">
              <a:solidFill>
                <a:schemeClr val="tx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24" name="Straight Arrow Connector 23"/>
          <xdr:cNvCxnSpPr/>
        </xdr:nvCxnSpPr>
        <xdr:spPr>
          <a:xfrm>
            <a:off x="3338513" y="2286000"/>
            <a:ext cx="1824037" cy="0"/>
          </a:xfrm>
          <a:prstGeom prst="straightConnector1">
            <a:avLst/>
          </a:prstGeom>
          <a:ln w="1270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TextBox 35"/>
          <xdr:cNvSpPr txBox="1"/>
        </xdr:nvSpPr>
        <xdr:spPr>
          <a:xfrm>
            <a:off x="3962400" y="1981200"/>
            <a:ext cx="26670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accent1"/>
                </a:solidFill>
              </a:rPr>
              <a:t>a</a:t>
            </a:r>
          </a:p>
        </xdr:txBody>
      </xdr:sp>
      <xdr:cxnSp macro="">
        <xdr:nvCxnSpPr>
          <xdr:cNvPr id="26" name="Straight Arrow Connector 25"/>
          <xdr:cNvCxnSpPr/>
        </xdr:nvCxnSpPr>
        <xdr:spPr>
          <a:xfrm>
            <a:off x="5329237" y="2514600"/>
            <a:ext cx="0" cy="1828799"/>
          </a:xfrm>
          <a:prstGeom prst="straightConnector1">
            <a:avLst/>
          </a:prstGeom>
          <a:ln w="1270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TextBox 38"/>
          <xdr:cNvSpPr txBox="1"/>
        </xdr:nvSpPr>
        <xdr:spPr>
          <a:xfrm>
            <a:off x="5343524" y="2895600"/>
            <a:ext cx="26670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accent1"/>
                </a:solidFill>
              </a:rPr>
              <a:t>b</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25400</xdr:colOff>
      <xdr:row>10</xdr:row>
      <xdr:rowOff>190500</xdr:rowOff>
    </xdr:from>
    <xdr:to>
      <xdr:col>8</xdr:col>
      <xdr:colOff>635000</xdr:colOff>
      <xdr:row>22</xdr:row>
      <xdr:rowOff>122987</xdr:rowOff>
    </xdr:to>
    <xdr:grpSp>
      <xdr:nvGrpSpPr>
        <xdr:cNvPr id="14" name="Group 13"/>
        <xdr:cNvGrpSpPr/>
      </xdr:nvGrpSpPr>
      <xdr:grpSpPr>
        <a:xfrm>
          <a:off x="9664700" y="2247900"/>
          <a:ext cx="4203700" cy="2396287"/>
          <a:chOff x="9944100" y="2070100"/>
          <a:chExt cx="4203700" cy="2396287"/>
        </a:xfrm>
      </xdr:grpSpPr>
      <xdr:sp macro="" textlink="">
        <xdr:nvSpPr>
          <xdr:cNvPr id="13" name="Rectangle 12"/>
          <xdr:cNvSpPr/>
        </xdr:nvSpPr>
        <xdr:spPr>
          <a:xfrm>
            <a:off x="9944100" y="2070100"/>
            <a:ext cx="4203700" cy="2336800"/>
          </a:xfrm>
          <a:prstGeom prst="rect">
            <a:avLst/>
          </a:prstGeom>
          <a:solidFill>
            <a:schemeClr val="bg1"/>
          </a:solidFill>
          <a:ln>
            <a:solidFill>
              <a:schemeClr val="tx1"/>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nvGrpSpPr>
          <xdr:cNvPr id="4" name="Group 3"/>
          <xdr:cNvGrpSpPr/>
        </xdr:nvGrpSpPr>
        <xdr:grpSpPr>
          <a:xfrm>
            <a:off x="10820400" y="2336800"/>
            <a:ext cx="2848873" cy="2129587"/>
            <a:chOff x="2581275" y="2209800"/>
            <a:chExt cx="2848873" cy="2129587"/>
          </a:xfrm>
        </xdr:grpSpPr>
        <xdr:sp macro="" textlink="">
          <xdr:nvSpPr>
            <xdr:cNvPr id="5" name="Rectangle 4"/>
            <xdr:cNvSpPr/>
          </xdr:nvSpPr>
          <xdr:spPr>
            <a:xfrm>
              <a:off x="2581275" y="2209800"/>
              <a:ext cx="1485900" cy="1447800"/>
            </a:xfrm>
            <a:prstGeom prst="rect">
              <a:avLst/>
            </a:prstGeom>
            <a:solidFill>
              <a:schemeClr val="tx1">
                <a:lumMod val="50000"/>
                <a:lumOff val="50000"/>
              </a:schemeClr>
            </a:solidFill>
            <a:ln>
              <a:noFill/>
            </a:ln>
            <a:scene3d>
              <a:camera prst="isometricRightUp"/>
              <a:lightRig rig="threePt" dir="t"/>
            </a:scene3d>
            <a:sp3d extrusionH="381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 name="Oval 5"/>
            <xdr:cNvSpPr/>
          </xdr:nvSpPr>
          <xdr:spPr>
            <a:xfrm>
              <a:off x="4067175" y="3176677"/>
              <a:ext cx="681487" cy="733245"/>
            </a:xfrm>
            <a:prstGeom prst="ellipse">
              <a:avLst/>
            </a:prstGeom>
            <a:scene3d>
              <a:camera prst="isometricRightUp"/>
              <a:lightRig rig="threePt" dir="t"/>
            </a:scene3d>
            <a:sp3d extrusionH="1409700"/>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 name="Straight Arrow Connector 6"/>
            <xdr:cNvCxnSpPr/>
          </xdr:nvCxnSpPr>
          <xdr:spPr>
            <a:xfrm>
              <a:off x="4439099" y="3543299"/>
              <a:ext cx="619125" cy="36662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xdr:cNvCxnSpPr/>
          </xdr:nvCxnSpPr>
          <xdr:spPr>
            <a:xfrm flipV="1">
              <a:off x="4439099" y="2858429"/>
              <a:ext cx="0" cy="6848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xdr:cNvCxnSpPr/>
          </xdr:nvCxnSpPr>
          <xdr:spPr>
            <a:xfrm flipH="1">
              <a:off x="3828827" y="3540215"/>
              <a:ext cx="610272" cy="43563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TextBox 14"/>
            <xdr:cNvSpPr txBox="1"/>
          </xdr:nvSpPr>
          <xdr:spPr>
            <a:xfrm>
              <a:off x="5011497" y="3613899"/>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X</a:t>
              </a:r>
            </a:p>
          </xdr:txBody>
        </xdr:sp>
        <xdr:sp macro="" textlink="">
          <xdr:nvSpPr>
            <xdr:cNvPr id="11" name="TextBox 15"/>
            <xdr:cNvSpPr txBox="1"/>
          </xdr:nvSpPr>
          <xdr:spPr>
            <a:xfrm>
              <a:off x="4486501" y="2648221"/>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Y</a:t>
              </a:r>
            </a:p>
          </xdr:txBody>
        </xdr:sp>
        <xdr:sp macro="" textlink="">
          <xdr:nvSpPr>
            <xdr:cNvPr id="12" name="TextBox 16"/>
            <xdr:cNvSpPr txBox="1"/>
          </xdr:nvSpPr>
          <xdr:spPr>
            <a:xfrm>
              <a:off x="3619500" y="3970055"/>
              <a:ext cx="41865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rgbClr val="FF0000"/>
                  </a:solidFill>
                </a:rPr>
                <a:t>Z</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647699</xdr:colOff>
      <xdr:row>11</xdr:row>
      <xdr:rowOff>17392</xdr:rowOff>
    </xdr:from>
    <xdr:to>
      <xdr:col>14</xdr:col>
      <xdr:colOff>159384</xdr:colOff>
      <xdr:row>22</xdr:row>
      <xdr:rowOff>190500</xdr:rowOff>
    </xdr:to>
    <xdr:pic>
      <xdr:nvPicPr>
        <xdr:cNvPr id="3" name="Picture 2" descr="basic cross sections"/>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9956799" y="2252592"/>
          <a:ext cx="3677285" cy="242100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13</xdr:col>
      <xdr:colOff>20171</xdr:colOff>
      <xdr:row>23</xdr:row>
      <xdr:rowOff>62007</xdr:rowOff>
    </xdr:from>
    <xdr:to>
      <xdr:col>21</xdr:col>
      <xdr:colOff>453713</xdr:colOff>
      <xdr:row>29</xdr:row>
      <xdr:rowOff>125507</xdr:rowOff>
    </xdr:to>
    <xdr:pic>
      <xdr:nvPicPr>
        <xdr:cNvPr id="28" name="Picture 27"/>
        <xdr:cNvPicPr>
          <a:picLocks noChangeAspect="1"/>
        </xdr:cNvPicPr>
      </xdr:nvPicPr>
      <xdr:blipFill rotWithShape="1">
        <a:blip xmlns:r="http://schemas.openxmlformats.org/officeDocument/2006/relationships" r:embed="rId3"/>
        <a:srcRect l="24027" t="43704" r="24750" b="42222"/>
        <a:stretch/>
      </xdr:blipFill>
      <xdr:spPr>
        <a:xfrm>
          <a:off x="12750053" y="4712448"/>
          <a:ext cx="5812366" cy="1273735"/>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2</xdr:col>
      <xdr:colOff>425824</xdr:colOff>
      <xdr:row>28</xdr:row>
      <xdr:rowOff>67235</xdr:rowOff>
    </xdr:from>
    <xdr:to>
      <xdr:col>11</xdr:col>
      <xdr:colOff>672041</xdr:colOff>
      <xdr:row>45</xdr:row>
      <xdr:rowOff>84173</xdr:rowOff>
    </xdr:to>
    <xdr:pic>
      <xdr:nvPicPr>
        <xdr:cNvPr id="6" name="Picture 5"/>
        <xdr:cNvPicPr>
          <a:picLocks noChangeAspect="1"/>
        </xdr:cNvPicPr>
      </xdr:nvPicPr>
      <xdr:blipFill>
        <a:blip xmlns:r="http://schemas.openxmlformats.org/officeDocument/2006/relationships" r:embed="rId5"/>
        <a:stretch>
          <a:fillRect/>
        </a:stretch>
      </xdr:blipFill>
      <xdr:spPr>
        <a:xfrm>
          <a:off x="5076265" y="5726206"/>
          <a:ext cx="6980952" cy="3457143"/>
        </a:xfrm>
        <a:prstGeom prst="rect">
          <a:avLst/>
        </a:prstGeom>
      </xdr:spPr>
    </xdr:pic>
    <xdr:clientData/>
  </xdr:twoCellAnchor>
  <xdr:twoCellAnchor editAs="oneCell">
    <xdr:from>
      <xdr:col>2</xdr:col>
      <xdr:colOff>690843</xdr:colOff>
      <xdr:row>44</xdr:row>
      <xdr:rowOff>191060</xdr:rowOff>
    </xdr:from>
    <xdr:to>
      <xdr:col>11</xdr:col>
      <xdr:colOff>327537</xdr:colOff>
      <xdr:row>85</xdr:row>
      <xdr:rowOff>121119</xdr:rowOff>
    </xdr:to>
    <xdr:pic>
      <xdr:nvPicPr>
        <xdr:cNvPr id="7" name="Picture 6"/>
        <xdr:cNvPicPr>
          <a:picLocks noChangeAspect="1"/>
        </xdr:cNvPicPr>
      </xdr:nvPicPr>
      <xdr:blipFill>
        <a:blip xmlns:r="http://schemas.openxmlformats.org/officeDocument/2006/relationships" r:embed="rId6"/>
        <a:stretch>
          <a:fillRect/>
        </a:stretch>
      </xdr:blipFill>
      <xdr:spPr>
        <a:xfrm>
          <a:off x="5341284" y="9088531"/>
          <a:ext cx="6371429" cy="82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topLeftCell="A3" workbookViewId="0">
      <selection activeCell="C39" sqref="C39"/>
    </sheetView>
  </sheetViews>
  <sheetFormatPr defaultColWidth="11" defaultRowHeight="15.75" x14ac:dyDescent="0.25"/>
  <cols>
    <col min="2" max="2" width="19" customWidth="1"/>
    <col min="3" max="3" width="12.125" customWidth="1"/>
    <col min="4" max="4" width="13.5" customWidth="1"/>
    <col min="5" max="5" width="18.875" customWidth="1"/>
    <col min="7" max="7" width="18.625" customWidth="1"/>
    <col min="9" max="9" width="12.125" bestFit="1"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24" t="s">
        <v>201</v>
      </c>
      <c r="B1" s="324"/>
      <c r="C1" s="324"/>
      <c r="D1" s="324"/>
      <c r="E1" s="324"/>
      <c r="F1" s="324"/>
      <c r="G1" s="324"/>
    </row>
    <row r="2" spans="1:20" x14ac:dyDescent="0.25">
      <c r="A2" s="324" t="s">
        <v>159</v>
      </c>
      <c r="B2" s="324"/>
      <c r="C2" s="324"/>
      <c r="D2" s="324"/>
      <c r="E2" s="324"/>
      <c r="F2" s="324"/>
      <c r="G2" s="324"/>
    </row>
    <row r="3" spans="1:20" ht="15" customHeight="1" x14ac:dyDescent="0.25">
      <c r="A3" s="324" t="s">
        <v>161</v>
      </c>
      <c r="B3" s="324"/>
      <c r="C3" s="324"/>
      <c r="D3" s="324"/>
      <c r="E3" s="324"/>
      <c r="F3" s="324"/>
      <c r="G3" s="324"/>
      <c r="I3" s="333" t="s">
        <v>202</v>
      </c>
      <c r="J3" s="333"/>
      <c r="K3" s="333"/>
      <c r="L3" s="84"/>
      <c r="M3" s="84"/>
      <c r="N3" s="84"/>
      <c r="O3" s="84"/>
    </row>
    <row r="4" spans="1:20" x14ac:dyDescent="0.25">
      <c r="A4" s="23"/>
      <c r="B4" s="23"/>
      <c r="C4" s="23"/>
      <c r="D4" s="23"/>
      <c r="E4" s="23"/>
      <c r="F4" s="23"/>
      <c r="G4" s="23"/>
      <c r="I4" s="333"/>
      <c r="J4" s="333"/>
      <c r="K4" s="333"/>
      <c r="L4" s="84"/>
      <c r="M4" s="84"/>
      <c r="N4" s="84"/>
      <c r="O4" s="84"/>
    </row>
    <row r="5" spans="1:20" x14ac:dyDescent="0.25">
      <c r="A5" s="47" t="s">
        <v>170</v>
      </c>
      <c r="B5" s="285">
        <v>42473</v>
      </c>
      <c r="C5" s="47" t="s">
        <v>169</v>
      </c>
      <c r="D5" s="76" t="s">
        <v>378</v>
      </c>
      <c r="E5" s="331" t="s">
        <v>160</v>
      </c>
      <c r="F5" s="331"/>
      <c r="G5" s="331"/>
      <c r="I5" s="333"/>
      <c r="J5" s="333"/>
      <c r="K5" s="333"/>
      <c r="L5" s="84"/>
      <c r="M5" s="84"/>
      <c r="N5" s="84"/>
      <c r="O5" s="84"/>
    </row>
    <row r="6" spans="1:20" x14ac:dyDescent="0.25">
      <c r="A6" s="326" t="s">
        <v>163</v>
      </c>
      <c r="B6" s="326"/>
      <c r="C6" s="35" t="s">
        <v>162</v>
      </c>
      <c r="D6" s="1" t="s">
        <v>195</v>
      </c>
      <c r="I6" s="333"/>
      <c r="J6" s="333"/>
      <c r="K6" s="333"/>
    </row>
    <row r="7" spans="1:20" x14ac:dyDescent="0.25">
      <c r="A7" s="326" t="s">
        <v>164</v>
      </c>
      <c r="B7" s="326"/>
      <c r="C7" s="44" t="s">
        <v>165</v>
      </c>
      <c r="I7" t="s">
        <v>193</v>
      </c>
    </row>
    <row r="8" spans="1:20" x14ac:dyDescent="0.25">
      <c r="A8" s="34" t="s">
        <v>168</v>
      </c>
      <c r="B8" s="34"/>
      <c r="C8" s="10"/>
      <c r="I8" s="13" t="s">
        <v>194</v>
      </c>
      <c r="J8" s="13" t="s">
        <v>128</v>
      </c>
      <c r="K8" s="13" t="s">
        <v>0</v>
      </c>
      <c r="L8" s="13" t="s">
        <v>312</v>
      </c>
      <c r="M8" s="13" t="s">
        <v>264</v>
      </c>
    </row>
    <row r="9" spans="1:20" x14ac:dyDescent="0.25">
      <c r="A9" s="34" t="s">
        <v>168</v>
      </c>
      <c r="B9" s="34"/>
      <c r="C9" s="10"/>
      <c r="I9" s="37" t="s">
        <v>381</v>
      </c>
      <c r="J9" s="37">
        <v>1</v>
      </c>
      <c r="K9" s="37">
        <v>6</v>
      </c>
      <c r="L9" s="37">
        <v>1</v>
      </c>
      <c r="M9" s="147">
        <f>'CS_1 X stage'!C25</f>
        <v>157079.63267948964</v>
      </c>
      <c r="T9" s="26"/>
    </row>
    <row r="10" spans="1:20" x14ac:dyDescent="0.25">
      <c r="A10" s="34"/>
      <c r="B10" s="34"/>
      <c r="C10" s="10"/>
      <c r="I10" s="37" t="s">
        <v>382</v>
      </c>
      <c r="J10" s="37">
        <v>3</v>
      </c>
      <c r="K10" s="37">
        <v>6</v>
      </c>
      <c r="L10" s="37">
        <v>1</v>
      </c>
      <c r="M10" s="147">
        <v>1000</v>
      </c>
    </row>
    <row r="11" spans="1:20" ht="16.5" thickBot="1" x14ac:dyDescent="0.3">
      <c r="A11" s="34"/>
      <c r="B11" s="34"/>
      <c r="C11" s="10"/>
      <c r="I11" s="37"/>
      <c r="J11" s="37"/>
      <c r="K11" s="37"/>
      <c r="L11" s="37"/>
      <c r="M11" s="147"/>
      <c r="N11" s="1"/>
    </row>
    <row r="12" spans="1:20" x14ac:dyDescent="0.25">
      <c r="A12" s="327" t="s">
        <v>156</v>
      </c>
      <c r="B12" s="330" t="s">
        <v>167</v>
      </c>
      <c r="C12" s="330"/>
      <c r="D12" s="330"/>
      <c r="E12" s="330"/>
      <c r="F12" s="330"/>
      <c r="G12" s="330"/>
      <c r="I12" s="13"/>
      <c r="J12" s="13"/>
      <c r="K12" s="13"/>
      <c r="L12" s="13"/>
      <c r="M12" s="13"/>
    </row>
    <row r="13" spans="1:20" ht="15" customHeight="1" x14ac:dyDescent="0.25">
      <c r="A13" s="328"/>
      <c r="B13" s="104" t="s">
        <v>166</v>
      </c>
      <c r="C13" s="330" t="s">
        <v>263</v>
      </c>
      <c r="D13" s="330"/>
      <c r="E13" s="330"/>
      <c r="F13" s="330"/>
      <c r="G13" s="325" t="s">
        <v>153</v>
      </c>
      <c r="I13" s="13"/>
      <c r="J13" s="13"/>
      <c r="K13" s="13"/>
      <c r="L13" s="13"/>
      <c r="M13" s="13"/>
    </row>
    <row r="14" spans="1:20" x14ac:dyDescent="0.25">
      <c r="A14" s="328"/>
      <c r="B14" s="105">
        <f>Naxes</f>
        <v>5</v>
      </c>
      <c r="C14" s="330" t="s">
        <v>109</v>
      </c>
      <c r="D14" s="330"/>
      <c r="E14" s="330"/>
      <c r="F14" s="106" t="s">
        <v>110</v>
      </c>
      <c r="G14" s="325"/>
      <c r="I14" s="13"/>
      <c r="J14" s="13"/>
      <c r="K14" s="13"/>
      <c r="L14" s="13"/>
      <c r="M14" s="13"/>
    </row>
    <row r="15" spans="1:20" x14ac:dyDescent="0.25">
      <c r="A15" s="328"/>
      <c r="B15" s="107"/>
      <c r="C15" s="108" t="s">
        <v>151</v>
      </c>
      <c r="D15" s="108" t="s">
        <v>7</v>
      </c>
      <c r="E15" s="108" t="s">
        <v>154</v>
      </c>
      <c r="F15" s="106" t="s">
        <v>151</v>
      </c>
      <c r="G15" s="106" t="s">
        <v>151</v>
      </c>
      <c r="I15" s="13"/>
      <c r="J15" s="13"/>
      <c r="K15" s="13"/>
      <c r="L15" s="13"/>
      <c r="M15" s="13"/>
    </row>
    <row r="16" spans="1:20" x14ac:dyDescent="0.25">
      <c r="A16" s="328"/>
      <c r="B16" s="109" t="s">
        <v>84</v>
      </c>
      <c r="C16" s="110">
        <f>(C26*$A$27+C33*$A$34+C40*$A$41+C47*$A$48+C54*$A$55+C61*$A$62+C68*$A$69+C75*$A$76+C82*$A$83+C89*$A$90)</f>
        <v>2.4598314958209245E-4</v>
      </c>
      <c r="D16" s="110">
        <f>SQRT((C26*$A$27)^2+(C33*$A$34)^2+(C40*$A$41)^2+(C47*$A$48)^2+(C54*$A$55)^2+(C61*$A$62)^2+(C68*$A$69)^2+(C75*$A$76)^2+(C82*$A$83)^2+(C89*$A$90)^2)</f>
        <v>2.3596078510637882E-4</v>
      </c>
      <c r="E16" s="110">
        <f>(C16+D16)/2</f>
        <v>2.4097196734423562E-4</v>
      </c>
      <c r="F16" s="110">
        <f t="shared" ref="F16:G18" si="0">(D26*$A$27+D33*$A$34+D40*$A$41+D47*$A$48+D54*$A$55+D61*$A$62+D68*$A$69+D75*$A$76+D82*$A$83+D89*$A$90)</f>
        <v>0</v>
      </c>
      <c r="G16" s="110">
        <f t="shared" si="0"/>
        <v>-4.4254279253131291E-4</v>
      </c>
      <c r="H16" s="14"/>
      <c r="I16" s="13"/>
      <c r="J16" s="13"/>
      <c r="K16" s="13"/>
      <c r="L16" s="13"/>
      <c r="M16" s="13"/>
    </row>
    <row r="17" spans="1:20" x14ac:dyDescent="0.25">
      <c r="A17" s="328"/>
      <c r="B17" s="109" t="s">
        <v>112</v>
      </c>
      <c r="C17" s="110">
        <f>(C27*$A$27+C34*$A$34+C41*$A$41+C48*$A$48+C55*$A$55+C62*$A$62+C69*$A$69+C76*$A$76+C83*$A$83+C90*$A$90)</f>
        <v>2.6905778657224398E-4</v>
      </c>
      <c r="D17" s="110">
        <f>SQRT((C27*$A$27)^2+(C34*$A$34)^2+(C41*$A$41)^2+(C48*$A$48)^2+(C55*$A$55)^2+(C62*$A$62)^2+(C69*$A$69)^2+(C76*$A$76)^2+(C83*$A$83)^2+(C90*$A$90)^2)</f>
        <v>2.6066825690882449E-4</v>
      </c>
      <c r="E17" s="110">
        <f>(C17+D17)/2</f>
        <v>2.6486302174053423E-4</v>
      </c>
      <c r="F17" s="110">
        <f t="shared" si="0"/>
        <v>0</v>
      </c>
      <c r="G17" s="110">
        <f t="shared" si="0"/>
        <v>-4.9648085241132608E-2</v>
      </c>
      <c r="H17" s="14"/>
      <c r="I17" s="13"/>
      <c r="J17" s="13"/>
      <c r="K17" s="13"/>
      <c r="L17" s="13"/>
      <c r="M17" s="13"/>
    </row>
    <row r="18" spans="1:20" x14ac:dyDescent="0.25">
      <c r="A18" s="328"/>
      <c r="B18" s="109" t="s">
        <v>113</v>
      </c>
      <c r="C18" s="110">
        <f>(C28*$A$27+C35*$A$34+C42*$A$41+C49*$A$48+C56*$A$55+C63*$A$62+C70*$A$69+C77*$A$76+C84*$A$83+C91*$A$90)</f>
        <v>2.531289770235695E-4</v>
      </c>
      <c r="D18" s="110">
        <f>SQRT((C28*$A$27)^2+(C35*$A$34)^2+(C42*$A$41)^2+(C49*$A$48)^2+(C56*$A$55)^2+(C63*$A$62)^2+(C70*$A$69)^2+(C77*$A$76)^2+(C84*$A$83)^2+(C91*$A$90)^2)</f>
        <v>2.3820575061200109E-4</v>
      </c>
      <c r="E18" s="110">
        <f>(C18+D18)/2</f>
        <v>2.4566736381778528E-4</v>
      </c>
      <c r="F18" s="110">
        <f t="shared" si="0"/>
        <v>0</v>
      </c>
      <c r="G18" s="110">
        <f t="shared" si="0"/>
        <v>4.227508333779433E-7</v>
      </c>
      <c r="H18" s="14"/>
      <c r="I18" s="13"/>
      <c r="J18" s="13"/>
      <c r="K18" s="13"/>
      <c r="L18" s="13"/>
      <c r="M18" s="13"/>
    </row>
    <row r="19" spans="1:20" ht="16.5" thickBot="1" x14ac:dyDescent="0.3">
      <c r="A19" s="329"/>
      <c r="B19" s="109" t="s">
        <v>157</v>
      </c>
      <c r="C19" s="110">
        <f>SQRT(C16^2+C17^2+C18^2)</f>
        <v>4.4381762178002807E-4</v>
      </c>
      <c r="D19" s="110">
        <f>SQRT(D16^2+D17^2+D18^2)</f>
        <v>4.2469684704802137E-4</v>
      </c>
      <c r="E19" s="110">
        <f>SQRT(E16^2+E17^2+E18^2)</f>
        <v>4.3424919456051743E-4</v>
      </c>
      <c r="F19" s="110">
        <f>SQRT(F16^2+F17^2+F18^2)</f>
        <v>0</v>
      </c>
      <c r="G19" s="110">
        <f>SQRT(G16^2+G17^2+G18^2)</f>
        <v>4.965005752678147E-2</v>
      </c>
      <c r="H19" s="14"/>
      <c r="I19" s="13"/>
      <c r="J19" s="13"/>
      <c r="K19" s="13"/>
      <c r="L19" s="13"/>
      <c r="M19" s="112"/>
    </row>
    <row r="20" spans="1:20" x14ac:dyDescent="0.25">
      <c r="A20" s="26"/>
      <c r="H20" s="14"/>
    </row>
    <row r="21" spans="1:20" x14ac:dyDescent="0.25">
      <c r="C21" s="1"/>
      <c r="D21" s="1"/>
    </row>
    <row r="22" spans="1:20" x14ac:dyDescent="0.25">
      <c r="C22" s="1"/>
      <c r="D22" s="1"/>
    </row>
    <row r="23" spans="1:20" x14ac:dyDescent="0.25">
      <c r="A23" s="23" t="s">
        <v>128</v>
      </c>
      <c r="B23" s="9" t="str">
        <f>'CSs and Loads'!A22</f>
        <v>X Stage</v>
      </c>
      <c r="C23" s="324" t="s">
        <v>152</v>
      </c>
      <c r="D23" s="324"/>
      <c r="E23" s="332" t="s">
        <v>153</v>
      </c>
    </row>
    <row r="24" spans="1:20" x14ac:dyDescent="0.25">
      <c r="A24" s="44">
        <v>1</v>
      </c>
      <c r="C24" s="26" t="s">
        <v>109</v>
      </c>
      <c r="D24" s="26" t="s">
        <v>110</v>
      </c>
      <c r="E24" s="332"/>
      <c r="F24" s="34" t="s">
        <v>136</v>
      </c>
      <c r="K24" s="34" t="s">
        <v>137</v>
      </c>
      <c r="P24" s="34" t="s">
        <v>150</v>
      </c>
    </row>
    <row r="25" spans="1:20" x14ac:dyDescent="0.25">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x14ac:dyDescent="0.25">
      <c r="A26" s="44" t="str">
        <f>IF('CSs and Loads'!A17=1,"yes","no")</f>
        <v>yes</v>
      </c>
      <c r="B26" s="70" t="s">
        <v>84</v>
      </c>
      <c r="C26" s="71">
        <f>((G26+H26+I26+J26)+SQRT(G26^2+H26^2+I26^2+J26^2))/2</f>
        <v>2.3573827578237378E-4</v>
      </c>
      <c r="D26" s="48">
        <f>L26+M26+N26+O26</f>
        <v>0</v>
      </c>
      <c r="E26" s="48">
        <f>Q26+R26+S26+T26</f>
        <v>-3.4095326018750718E-3</v>
      </c>
      <c r="F26" s="70" t="s">
        <v>84</v>
      </c>
      <c r="G26" s="49">
        <f>'CSs and Loads'!T15</f>
        <v>9.9999999999999995E-7</v>
      </c>
      <c r="H26" s="49">
        <f>'CSs and Loads'!U15</f>
        <v>0</v>
      </c>
      <c r="I26" s="49">
        <f>'CSs and Loads'!V15</f>
        <v>9.8424372768155305E-9</v>
      </c>
      <c r="J26" s="49">
        <f>'CSs and Loads'!W15</f>
        <v>2.3523229168632645E-4</v>
      </c>
      <c r="K26" s="70" t="s">
        <v>84</v>
      </c>
      <c r="L26" s="49">
        <f>'CSs and Loads'!T22</f>
        <v>0</v>
      </c>
      <c r="M26" s="49">
        <f>'CSs and Loads'!U22</f>
        <v>0</v>
      </c>
      <c r="N26" s="49">
        <f>'CSs and Loads'!V22</f>
        <v>0</v>
      </c>
      <c r="O26" s="49">
        <f>'CSs and Loads'!W22</f>
        <v>0</v>
      </c>
      <c r="P26" s="70" t="s">
        <v>84</v>
      </c>
      <c r="Q26" s="49">
        <f>'CSs and Loads'!Y22</f>
        <v>3.8190954896845764E-5</v>
      </c>
      <c r="R26" s="49">
        <f>'CSs and Loads'!Z22</f>
        <v>0</v>
      </c>
      <c r="S26" s="49">
        <f>'CSs and Loads'!AA22</f>
        <v>0</v>
      </c>
      <c r="T26" s="49">
        <f>'CSs and Loads'!AB22</f>
        <v>-3.4477235567719174E-3</v>
      </c>
    </row>
    <row r="27" spans="1:20" x14ac:dyDescent="0.25">
      <c r="A27" s="44">
        <f>'CSs and Loads'!A17</f>
        <v>1</v>
      </c>
      <c r="B27" s="70" t="s">
        <v>112</v>
      </c>
      <c r="C27" s="71">
        <f t="shared" ref="C27:C28" si="1">((G27+H27+I27+J27)+SQRT(G27^2+H27^2+I27^2+J27^2))/2</f>
        <v>2.6052868277465116E-4</v>
      </c>
      <c r="D27" s="48">
        <f t="shared" ref="D27:D28" si="2">L27+M27+N27+O27</f>
        <v>0</v>
      </c>
      <c r="E27" s="48">
        <f t="shared" ref="E27:E28" si="3">Q27+R27+S27+T27</f>
        <v>-5.2248050156361199E-3</v>
      </c>
      <c r="F27" s="70" t="s">
        <v>112</v>
      </c>
      <c r="G27" s="49">
        <f>'CSs and Loads'!T16</f>
        <v>1E-4</v>
      </c>
      <c r="H27" s="49">
        <f>'CSs and Loads'!U16</f>
        <v>1.1810925197192484E-6</v>
      </c>
      <c r="I27" s="49">
        <f>'CSs and Loads'!V16</f>
        <v>0</v>
      </c>
      <c r="J27" s="49">
        <f>'CSs and Loads'!W16</f>
        <v>1.9802820539701737E-4</v>
      </c>
      <c r="K27" s="70" t="s">
        <v>112</v>
      </c>
      <c r="L27" s="49">
        <f>'CSs and Loads'!T23</f>
        <v>0</v>
      </c>
      <c r="M27" s="49">
        <f>'CSs and Loads'!U23</f>
        <v>0</v>
      </c>
      <c r="N27" s="49">
        <f>'CSs and Loads'!V23</f>
        <v>0</v>
      </c>
      <c r="O27" s="49">
        <f>'CSs and Loads'!W23</f>
        <v>0</v>
      </c>
      <c r="P27" s="70" t="s">
        <v>112</v>
      </c>
      <c r="Q27" s="49">
        <f>'CSs and Loads'!Y23</f>
        <v>-2.3223697089947092E-3</v>
      </c>
      <c r="R27" s="49">
        <f>'CSs and Loads'!Z23</f>
        <v>0</v>
      </c>
      <c r="S27" s="49">
        <f>'CSs and Loads'!AA23</f>
        <v>0</v>
      </c>
      <c r="T27" s="49">
        <f>'CSs and Loads'!AB23</f>
        <v>-2.9024353066414103E-3</v>
      </c>
    </row>
    <row r="28" spans="1:20" s="52" customFormat="1" ht="16.5" thickBot="1" x14ac:dyDescent="0.3">
      <c r="B28" s="72" t="s">
        <v>113</v>
      </c>
      <c r="C28" s="73">
        <f t="shared" si="1"/>
        <v>2.377059301978801E-4</v>
      </c>
      <c r="D28" s="74">
        <f t="shared" si="2"/>
        <v>0</v>
      </c>
      <c r="E28" s="74">
        <f t="shared" si="3"/>
        <v>0</v>
      </c>
      <c r="F28" s="72" t="s">
        <v>113</v>
      </c>
      <c r="G28" s="75">
        <f>'CSs and Loads'!T17</f>
        <v>9.9999999999999995E-7</v>
      </c>
      <c r="H28" s="75">
        <f>'CSs and Loads'!U17</f>
        <v>2.3621653545275806E-4</v>
      </c>
      <c r="I28" s="75">
        <f>'CSs and Loads'!V17</f>
        <v>1.9684710512741189E-6</v>
      </c>
      <c r="J28" s="75">
        <f>'CSs and Loads'!W17</f>
        <v>0</v>
      </c>
      <c r="K28" s="72" t="s">
        <v>113</v>
      </c>
      <c r="L28" s="75">
        <f>'CSs and Loads'!T24</f>
        <v>0</v>
      </c>
      <c r="M28" s="75">
        <f>'CSs and Loads'!U24</f>
        <v>0</v>
      </c>
      <c r="N28" s="75">
        <f>'CSs and Loads'!V24</f>
        <v>0</v>
      </c>
      <c r="O28" s="75">
        <f>'CSs and Loads'!W24</f>
        <v>0</v>
      </c>
      <c r="P28" s="72" t="s">
        <v>113</v>
      </c>
      <c r="Q28" s="75">
        <f>'CSs and Loads'!Y24</f>
        <v>0</v>
      </c>
      <c r="R28" s="75">
        <f>'CSs and Loads'!Z24</f>
        <v>0</v>
      </c>
      <c r="S28" s="75">
        <f>'CSs and Loads'!AA24</f>
        <v>0</v>
      </c>
      <c r="T28" s="75">
        <f>'CSs and Loads'!AB24</f>
        <v>0</v>
      </c>
    </row>
    <row r="29" spans="1:20" x14ac:dyDescent="0.25">
      <c r="B29" s="6"/>
      <c r="C29" s="22"/>
      <c r="D29" s="22"/>
      <c r="F29" s="6"/>
      <c r="K29" s="6"/>
      <c r="P29" s="6"/>
    </row>
    <row r="30" spans="1:20" x14ac:dyDescent="0.25">
      <c r="A30" s="23" t="s">
        <v>128</v>
      </c>
      <c r="B30" s="9" t="str">
        <f>'CSs and Loads'!A55</f>
        <v>Y column</v>
      </c>
      <c r="C30" s="324" t="s">
        <v>152</v>
      </c>
      <c r="D30" s="324"/>
      <c r="E30" s="332" t="s">
        <v>153</v>
      </c>
    </row>
    <row r="31" spans="1:20" x14ac:dyDescent="0.25">
      <c r="A31" s="44">
        <f>A24+1</f>
        <v>2</v>
      </c>
      <c r="C31" s="26" t="s">
        <v>109</v>
      </c>
      <c r="D31" s="26" t="s">
        <v>110</v>
      </c>
      <c r="E31" s="332"/>
      <c r="F31" s="34" t="s">
        <v>136</v>
      </c>
      <c r="K31" s="34" t="s">
        <v>137</v>
      </c>
      <c r="P31" s="34" t="s">
        <v>150</v>
      </c>
    </row>
    <row r="32" spans="1:20"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0</v>
      </c>
      <c r="D33" s="48">
        <f>L33+M33+N33+O33</f>
        <v>0</v>
      </c>
      <c r="E33" s="48">
        <f>Q33+R33+S33+T33</f>
        <v>7.7294426093813748E-6</v>
      </c>
      <c r="F33" s="70" t="s">
        <v>84</v>
      </c>
      <c r="G33" s="49">
        <f>'CSs and Loads'!T48</f>
        <v>0</v>
      </c>
      <c r="H33" s="49">
        <f>'CSs and Loads'!U48</f>
        <v>0</v>
      </c>
      <c r="I33" s="49">
        <f>'CSs and Loads'!V48</f>
        <v>0</v>
      </c>
      <c r="J33" s="49">
        <f>'CSs and Loads'!W48</f>
        <v>0</v>
      </c>
      <c r="K33" s="70" t="s">
        <v>84</v>
      </c>
      <c r="L33" s="49">
        <f>'CSs and Loads'!T55</f>
        <v>0</v>
      </c>
      <c r="M33" s="49">
        <f>'CSs and Loads'!U55</f>
        <v>0</v>
      </c>
      <c r="N33" s="49">
        <f>'CSs and Loads'!V55</f>
        <v>0</v>
      </c>
      <c r="O33" s="49">
        <f>'CSs and Loads'!W55</f>
        <v>0</v>
      </c>
      <c r="P33" s="70" t="s">
        <v>84</v>
      </c>
      <c r="Q33" s="49">
        <f>'CSs and Loads'!Y55</f>
        <v>7.7283000000000019E-6</v>
      </c>
      <c r="R33" s="49">
        <f>'CSs and Loads'!Z55</f>
        <v>0</v>
      </c>
      <c r="S33" s="49">
        <f>'CSs and Loads'!AA55</f>
        <v>0</v>
      </c>
      <c r="T33" s="49">
        <f>'CSs and Loads'!AB55</f>
        <v>1.1426093813726783E-9</v>
      </c>
    </row>
    <row r="34" spans="1:20" x14ac:dyDescent="0.25">
      <c r="A34" s="44">
        <f>'CSs and Loads'!A50</f>
        <v>1</v>
      </c>
      <c r="B34" s="70" t="s">
        <v>112</v>
      </c>
      <c r="C34" s="71">
        <f t="shared" ref="C34:C35" si="4">((G34+H34+I34+J34)+SQRT(G34^2+H34^2+I34^2+J34^2))/2</f>
        <v>0</v>
      </c>
      <c r="D34" s="48">
        <f t="shared" ref="D34:D35" si="5">L34+M34+N34+O34</f>
        <v>0</v>
      </c>
      <c r="E34" s="48">
        <f t="shared" ref="E34:E35" si="6">Q34+R34+S34+T34</f>
        <v>-4.0020998107903674E-6</v>
      </c>
      <c r="F34" s="70" t="s">
        <v>112</v>
      </c>
      <c r="G34" s="49">
        <f>'CSs and Loads'!T49</f>
        <v>0</v>
      </c>
      <c r="H34" s="49">
        <f>'CSs and Loads'!U49</f>
        <v>0</v>
      </c>
      <c r="I34" s="49">
        <f>'CSs and Loads'!V49</f>
        <v>0</v>
      </c>
      <c r="J34" s="49">
        <f>'CSs and Loads'!W49</f>
        <v>0</v>
      </c>
      <c r="K34" s="70" t="s">
        <v>112</v>
      </c>
      <c r="L34" s="49">
        <f>'CSs and Loads'!T56</f>
        <v>0</v>
      </c>
      <c r="M34" s="49">
        <f>'CSs and Loads'!U56</f>
        <v>0</v>
      </c>
      <c r="N34" s="49">
        <f>'CSs and Loads'!V56</f>
        <v>0</v>
      </c>
      <c r="O34" s="49">
        <f>'CSs and Loads'!W56</f>
        <v>0</v>
      </c>
      <c r="P34" s="70" t="s">
        <v>112</v>
      </c>
      <c r="Q34" s="49">
        <f>'CSs and Loads'!Y56</f>
        <v>-4.0009999999999995E-6</v>
      </c>
      <c r="R34" s="49">
        <f>'CSs and Loads'!Z56</f>
        <v>0</v>
      </c>
      <c r="S34" s="49">
        <f>'CSs and Loads'!AA56</f>
        <v>0</v>
      </c>
      <c r="T34" s="49">
        <f>'CSs and Loads'!AB56</f>
        <v>-1.099810790367914E-9</v>
      </c>
    </row>
    <row r="35" spans="1:20" s="52" customFormat="1" ht="16.5" thickBot="1" x14ac:dyDescent="0.3">
      <c r="B35" s="72" t="s">
        <v>113</v>
      </c>
      <c r="C35" s="73">
        <f t="shared" si="4"/>
        <v>0</v>
      </c>
      <c r="D35" s="74">
        <f t="shared" si="5"/>
        <v>0</v>
      </c>
      <c r="E35" s="74">
        <f t="shared" si="6"/>
        <v>0</v>
      </c>
      <c r="F35" s="72" t="s">
        <v>113</v>
      </c>
      <c r="G35" s="75">
        <f>'CSs and Loads'!T50</f>
        <v>0</v>
      </c>
      <c r="H35" s="75">
        <f>'CSs and Loads'!U50</f>
        <v>0</v>
      </c>
      <c r="I35" s="75">
        <f>'CSs and Loads'!V50</f>
        <v>0</v>
      </c>
      <c r="J35" s="75">
        <f>'CSs and Loads'!W50</f>
        <v>0</v>
      </c>
      <c r="K35" s="72" t="s">
        <v>113</v>
      </c>
      <c r="L35" s="75">
        <f>'CSs and Loads'!T57</f>
        <v>0</v>
      </c>
      <c r="M35" s="75">
        <f>'CSs and Loads'!U57</f>
        <v>0</v>
      </c>
      <c r="N35" s="75">
        <f>'CSs and Loads'!V57</f>
        <v>0</v>
      </c>
      <c r="O35" s="75">
        <f>'CSs and Loads'!W57</f>
        <v>0</v>
      </c>
      <c r="P35" s="72" t="s">
        <v>113</v>
      </c>
      <c r="Q35" s="75">
        <f>'CSs and Loads'!Y57</f>
        <v>0</v>
      </c>
      <c r="R35" s="75">
        <f>'CSs and Loads'!Z57</f>
        <v>0</v>
      </c>
      <c r="S35" s="75">
        <f>'CSs and Loads'!AA57</f>
        <v>0</v>
      </c>
      <c r="T35" s="75">
        <f>'CSs and Loads'!AB57</f>
        <v>0</v>
      </c>
    </row>
    <row r="37" spans="1:20" x14ac:dyDescent="0.25">
      <c r="A37" s="23" t="s">
        <v>128</v>
      </c>
      <c r="B37" s="9" t="str">
        <f>'CSs and Loads'!A88</f>
        <v>Y stage</v>
      </c>
      <c r="C37" s="324" t="s">
        <v>152</v>
      </c>
      <c r="D37" s="324"/>
      <c r="E37" s="332" t="s">
        <v>153</v>
      </c>
    </row>
    <row r="38" spans="1:20" x14ac:dyDescent="0.25">
      <c r="A38" s="44">
        <f>A31+1</f>
        <v>3</v>
      </c>
      <c r="C38" s="26" t="s">
        <v>109</v>
      </c>
      <c r="D38" s="26" t="s">
        <v>110</v>
      </c>
      <c r="E38" s="332"/>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yes</v>
      </c>
      <c r="B40" s="70" t="s">
        <v>84</v>
      </c>
      <c r="C40" s="71">
        <f>((G40+H40+I40+J40)+SQRT(G40^2+H40^2+I40^2+J40^2))/2</f>
        <v>1.0244873799718665E-5</v>
      </c>
      <c r="D40" s="48">
        <f>L40+M40+N40+O40</f>
        <v>0</v>
      </c>
      <c r="E40" s="48">
        <f>Q40+R40+S40+T40</f>
        <v>1.2866273865276447E-6</v>
      </c>
      <c r="F40" s="70" t="s">
        <v>84</v>
      </c>
      <c r="G40" s="49">
        <f>'CSs and Loads'!T81</f>
        <v>1.0000000000000001E-5</v>
      </c>
      <c r="H40" s="49">
        <f>'CSs and Loads'!U81</f>
        <v>0</v>
      </c>
      <c r="I40" s="49">
        <f>'CSs and Loads'!V81</f>
        <v>3.9999666667824936E-8</v>
      </c>
      <c r="J40" s="49">
        <f>'CSs and Loads'!W81</f>
        <v>4.3999300003449202E-7</v>
      </c>
      <c r="K40" s="70" t="s">
        <v>84</v>
      </c>
      <c r="L40" s="49">
        <f>'CSs and Loads'!T88</f>
        <v>0</v>
      </c>
      <c r="M40" s="49">
        <f>'CSs and Loads'!U88</f>
        <v>0</v>
      </c>
      <c r="N40" s="49">
        <f>'CSs and Loads'!V88</f>
        <v>0</v>
      </c>
      <c r="O40" s="49">
        <f>'CSs and Loads'!W88</f>
        <v>0</v>
      </c>
      <c r="P40" s="70" t="s">
        <v>84</v>
      </c>
      <c r="Q40" s="49">
        <f>'CSs and Loads'!Y88</f>
        <v>1.1591962905718702E-6</v>
      </c>
      <c r="R40" s="49">
        <f>'CSs and Loads'!Z88</f>
        <v>0</v>
      </c>
      <c r="S40" s="49">
        <f>'CSs and Loads'!AA88</f>
        <v>0</v>
      </c>
      <c r="T40" s="49">
        <f>'CSs and Loads'!AB88</f>
        <v>1.2743109595577456E-7</v>
      </c>
    </row>
    <row r="41" spans="1:20" x14ac:dyDescent="0.25">
      <c r="A41" s="44">
        <f>'CSs and Loads'!A83</f>
        <v>1</v>
      </c>
      <c r="B41" s="70" t="s">
        <v>112</v>
      </c>
      <c r="C41" s="71">
        <f t="shared" ref="C41:C42" si="7">((G41+H41+I41+J41)+SQRT(G41^2+H41^2+I41^2+J41^2))/2</f>
        <v>8.5291037975928107E-6</v>
      </c>
      <c r="D41" s="48">
        <f t="shared" ref="D41:D42" si="8">L41+M41+N41+O41</f>
        <v>0</v>
      </c>
      <c r="E41" s="48">
        <f t="shared" ref="E41:E42" si="9">Q41+R41+S41+T41</f>
        <v>-6.1788431973505216E-6</v>
      </c>
      <c r="F41" s="70" t="s">
        <v>112</v>
      </c>
      <c r="G41" s="49">
        <f>'CSs and Loads'!T82</f>
        <v>9.9999999999999995E-7</v>
      </c>
      <c r="H41" s="49">
        <f>'CSs and Loads'!U82</f>
        <v>1.9999833333894702E-10</v>
      </c>
      <c r="I41" s="49">
        <f>'CSs and Loads'!V82</f>
        <v>0</v>
      </c>
      <c r="J41" s="49">
        <f>'CSs and Loads'!W82</f>
        <v>7.997866683999961E-6</v>
      </c>
      <c r="K41" s="70" t="s">
        <v>112</v>
      </c>
      <c r="L41" s="49">
        <f>'CSs and Loads'!T89</f>
        <v>0</v>
      </c>
      <c r="M41" s="49">
        <f>'CSs and Loads'!U89</f>
        <v>0</v>
      </c>
      <c r="N41" s="49">
        <f>'CSs and Loads'!V89</f>
        <v>0</v>
      </c>
      <c r="O41" s="49">
        <f>'CSs and Loads'!W89</f>
        <v>0</v>
      </c>
      <c r="P41" s="70" t="s">
        <v>112</v>
      </c>
      <c r="Q41" s="49">
        <f>'CSs and Loads'!Y89</f>
        <v>-3.8624951718810348E-6</v>
      </c>
      <c r="R41" s="49">
        <f>'CSs and Loads'!Z89</f>
        <v>0</v>
      </c>
      <c r="S41" s="49">
        <f>'CSs and Loads'!AA89</f>
        <v>0</v>
      </c>
      <c r="T41" s="49">
        <f>'CSs and Loads'!AB89</f>
        <v>-2.3163480254694869E-6</v>
      </c>
    </row>
    <row r="42" spans="1:20" s="52" customFormat="1" ht="16.5" thickBot="1" x14ac:dyDescent="0.3">
      <c r="B42" s="72" t="s">
        <v>113</v>
      </c>
      <c r="C42" s="73">
        <f t="shared" si="7"/>
        <v>1.5423046825689408E-5</v>
      </c>
      <c r="D42" s="74">
        <f t="shared" si="8"/>
        <v>0</v>
      </c>
      <c r="E42" s="74">
        <f t="shared" si="9"/>
        <v>0</v>
      </c>
      <c r="F42" s="72" t="s">
        <v>113</v>
      </c>
      <c r="G42" s="75">
        <f>'CSs and Loads'!T83</f>
        <v>1.0000000000000001E-5</v>
      </c>
      <c r="H42" s="75">
        <f>'CSs and Loads'!U83</f>
        <v>3.9999333336666754E-8</v>
      </c>
      <c r="I42" s="75">
        <f>'CSs and Loads'!V83</f>
        <v>7.9998666673333521E-6</v>
      </c>
      <c r="J42" s="75">
        <f>'CSs and Loads'!W83</f>
        <v>0</v>
      </c>
      <c r="K42" s="72" t="s">
        <v>113</v>
      </c>
      <c r="L42" s="75">
        <f>'CSs and Loads'!T90</f>
        <v>0</v>
      </c>
      <c r="M42" s="75">
        <f>'CSs and Loads'!U90</f>
        <v>0</v>
      </c>
      <c r="N42" s="75">
        <f>'CSs and Loads'!V90</f>
        <v>0</v>
      </c>
      <c r="O42" s="75">
        <f>'CSs and Loads'!W90</f>
        <v>0</v>
      </c>
      <c r="P42" s="72" t="s">
        <v>113</v>
      </c>
      <c r="Q42" s="75">
        <f>'CSs and Loads'!Y90</f>
        <v>0</v>
      </c>
      <c r="R42" s="75">
        <f>'CSs and Loads'!Z90</f>
        <v>0</v>
      </c>
      <c r="S42" s="75">
        <f>'CSs and Loads'!AA90</f>
        <v>0</v>
      </c>
      <c r="T42" s="75">
        <f>'CSs and Loads'!AB90</f>
        <v>0</v>
      </c>
    </row>
    <row r="44" spans="1:20" x14ac:dyDescent="0.25">
      <c r="A44" s="23" t="s">
        <v>128</v>
      </c>
      <c r="B44" s="9" t="str">
        <f>'CSs and Loads'!A121</f>
        <v>Vise</v>
      </c>
      <c r="C44" s="324" t="s">
        <v>152</v>
      </c>
      <c r="D44" s="324"/>
      <c r="E44" s="332" t="s">
        <v>153</v>
      </c>
    </row>
    <row r="45" spans="1:20" x14ac:dyDescent="0.25">
      <c r="A45" s="44">
        <f>A38+1</f>
        <v>4</v>
      </c>
      <c r="C45" s="26" t="s">
        <v>109</v>
      </c>
      <c r="D45" s="26" t="s">
        <v>110</v>
      </c>
      <c r="E45" s="332"/>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yes</v>
      </c>
      <c r="B47" s="70" t="s">
        <v>84</v>
      </c>
      <c r="C47" s="71">
        <f>((G47+H47+I47+J47)+SQRT(G47^2+H47^2+I47^2+J47^2))/2</f>
        <v>0</v>
      </c>
      <c r="D47" s="48">
        <f>L47+M47+N47+O47</f>
        <v>0</v>
      </c>
      <c r="E47" s="48">
        <f>Q47+R47+S47+T47</f>
        <v>2.7619408378914377E-3</v>
      </c>
      <c r="F47" s="70" t="s">
        <v>84</v>
      </c>
      <c r="G47" s="49">
        <f>'CSs and Loads'!T114</f>
        <v>0</v>
      </c>
      <c r="H47" s="49">
        <f>'CSs and Loads'!U114</f>
        <v>0</v>
      </c>
      <c r="I47" s="49">
        <f>'CSs and Loads'!V114</f>
        <v>0</v>
      </c>
      <c r="J47" s="49">
        <f>'CSs and Loads'!W114</f>
        <v>0</v>
      </c>
      <c r="K47" s="70" t="s">
        <v>84</v>
      </c>
      <c r="L47" s="49">
        <f>'CSs and Loads'!T121</f>
        <v>0</v>
      </c>
      <c r="M47" s="49">
        <f>'CSs and Loads'!U121</f>
        <v>0</v>
      </c>
      <c r="N47" s="49">
        <f>'CSs and Loads'!V121</f>
        <v>0</v>
      </c>
      <c r="O47" s="49">
        <f>'CSs and Loads'!W121</f>
        <v>0</v>
      </c>
      <c r="P47" s="70" t="s">
        <v>84</v>
      </c>
      <c r="Q47" s="49">
        <f>'CSs and Loads'!Y121</f>
        <v>3E-10</v>
      </c>
      <c r="R47" s="49">
        <f>'CSs and Loads'!Z121</f>
        <v>0</v>
      </c>
      <c r="S47" s="49">
        <f>'CSs and Loads'!AA121</f>
        <v>0</v>
      </c>
      <c r="T47" s="49">
        <f>'CSs and Loads'!AB121</f>
        <v>2.7619405378914376E-3</v>
      </c>
    </row>
    <row r="48" spans="1:20" x14ac:dyDescent="0.25">
      <c r="A48" s="44">
        <f>'CSs and Loads'!A116</f>
        <v>1</v>
      </c>
      <c r="B48" s="70" t="s">
        <v>112</v>
      </c>
      <c r="C48" s="71">
        <f t="shared" ref="C48:C49" si="10">((G48+H48+I48+J48)+SQRT(G48^2+H48^2+I48^2+J48^2))/2</f>
        <v>0</v>
      </c>
      <c r="D48" s="48">
        <f t="shared" ref="D48:D49" si="11">L48+M48+N48+O48</f>
        <v>0</v>
      </c>
      <c r="E48" s="48">
        <f>Q48+R48+S48+T48</f>
        <v>-3.6124614682061996E-2</v>
      </c>
      <c r="F48" s="70" t="s">
        <v>112</v>
      </c>
      <c r="G48" s="49">
        <f>'CSs and Loads'!T115</f>
        <v>0</v>
      </c>
      <c r="H48" s="49">
        <f>'CSs and Loads'!U115</f>
        <v>0</v>
      </c>
      <c r="I48" s="49">
        <f>'CSs and Loads'!V115</f>
        <v>0</v>
      </c>
      <c r="J48" s="49">
        <f>'CSs and Loads'!W115</f>
        <v>0</v>
      </c>
      <c r="K48" s="70" t="s">
        <v>112</v>
      </c>
      <c r="L48" s="49">
        <f>'CSs and Loads'!T122</f>
        <v>0</v>
      </c>
      <c r="M48" s="49">
        <f>'CSs and Loads'!U122</f>
        <v>0</v>
      </c>
      <c r="N48" s="49">
        <f>'CSs and Loads'!V122</f>
        <v>0</v>
      </c>
      <c r="O48" s="49">
        <f>'CSs and Loads'!W122</f>
        <v>0</v>
      </c>
      <c r="P48" s="70" t="s">
        <v>112</v>
      </c>
      <c r="Q48" s="49">
        <f>'CSs and Loads'!Y122</f>
        <v>-9.9999886902792381E-10</v>
      </c>
      <c r="R48" s="49">
        <f>'CSs and Loads'!Z122</f>
        <v>0</v>
      </c>
      <c r="S48" s="49">
        <f>'CSs and Loads'!AA122</f>
        <v>0</v>
      </c>
      <c r="T48" s="49">
        <f>'CSs and Loads'!AB122</f>
        <v>-3.6124613682063128E-2</v>
      </c>
    </row>
    <row r="49" spans="1:20" s="52" customFormat="1" ht="16.5" thickBot="1" x14ac:dyDescent="0.3">
      <c r="B49" s="72" t="s">
        <v>113</v>
      </c>
      <c r="C49" s="73">
        <f t="shared" si="10"/>
        <v>0</v>
      </c>
      <c r="D49" s="74">
        <f t="shared" si="11"/>
        <v>0</v>
      </c>
      <c r="E49" s="74">
        <f t="shared" ref="E49" si="12">Q49+R49+S49+T49</f>
        <v>0</v>
      </c>
      <c r="F49" s="72" t="s">
        <v>113</v>
      </c>
      <c r="G49" s="75">
        <f>'CSs and Loads'!T116</f>
        <v>0</v>
      </c>
      <c r="H49" s="75">
        <f>'CSs and Loads'!U116</f>
        <v>0</v>
      </c>
      <c r="I49" s="75">
        <f>'CSs and Loads'!V116</f>
        <v>0</v>
      </c>
      <c r="J49" s="75">
        <f>'CSs and Loads'!W116</f>
        <v>0</v>
      </c>
      <c r="K49" s="72" t="s">
        <v>113</v>
      </c>
      <c r="L49" s="75">
        <f>'CSs and Loads'!T123</f>
        <v>0</v>
      </c>
      <c r="M49" s="75">
        <f>'CSs and Loads'!U123</f>
        <v>0</v>
      </c>
      <c r="N49" s="75">
        <f>'CSs and Loads'!V123</f>
        <v>0</v>
      </c>
      <c r="O49" s="75">
        <f>'CSs and Loads'!W123</f>
        <v>0</v>
      </c>
      <c r="P49" s="72" t="s">
        <v>113</v>
      </c>
      <c r="Q49" s="75">
        <f>'CSs and Loads'!Y123</f>
        <v>0</v>
      </c>
      <c r="R49" s="75">
        <f>'CSs and Loads'!Z123</f>
        <v>0</v>
      </c>
      <c r="S49" s="75">
        <f>'CSs and Loads'!AA123</f>
        <v>0</v>
      </c>
      <c r="T49" s="75">
        <f>'CSs and Loads'!AB123</f>
        <v>0</v>
      </c>
    </row>
    <row r="51" spans="1:20" x14ac:dyDescent="0.25">
      <c r="A51" s="23" t="s">
        <v>128</v>
      </c>
      <c r="B51" s="9" t="str">
        <f>'CSs and Loads'!A154</f>
        <v>Workpiece</v>
      </c>
      <c r="C51" s="324" t="s">
        <v>152</v>
      </c>
      <c r="D51" s="324"/>
      <c r="E51" s="332" t="s">
        <v>153</v>
      </c>
    </row>
    <row r="52" spans="1:20" x14ac:dyDescent="0.25">
      <c r="A52" s="44">
        <f>A45+1</f>
        <v>5</v>
      </c>
      <c r="C52" s="26" t="s">
        <v>109</v>
      </c>
      <c r="D52" s="26" t="s">
        <v>110</v>
      </c>
      <c r="E52" s="332"/>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yes</v>
      </c>
      <c r="B54" s="70" t="s">
        <v>84</v>
      </c>
      <c r="C54" s="71">
        <f>((G54+H54+I54+J54)+SQRT(G54^2+H54^2+I54^2+J54^2))/2</f>
        <v>0</v>
      </c>
      <c r="D54" s="48">
        <f>L54+M54+N54+O54</f>
        <v>0</v>
      </c>
      <c r="E54" s="48">
        <f>Q54+R54+S54+T54</f>
        <v>1.9603290145641218E-4</v>
      </c>
      <c r="F54" s="70" t="s">
        <v>84</v>
      </c>
      <c r="G54" s="49">
        <f>'CSs and Loads'!T147</f>
        <v>0</v>
      </c>
      <c r="H54" s="49">
        <f>'CSs and Loads'!U147</f>
        <v>0</v>
      </c>
      <c r="I54" s="49">
        <f>'CSs and Loads'!V147</f>
        <v>0</v>
      </c>
      <c r="J54" s="49">
        <f>'CSs and Loads'!W147</f>
        <v>0</v>
      </c>
      <c r="K54" s="70" t="s">
        <v>84</v>
      </c>
      <c r="L54" s="49">
        <f>'CSs and Loads'!T154</f>
        <v>0</v>
      </c>
      <c r="M54" s="49">
        <f>'CSs and Loads'!U154</f>
        <v>0</v>
      </c>
      <c r="N54" s="49">
        <f>'CSs and Loads'!V154</f>
        <v>0</v>
      </c>
      <c r="O54" s="49">
        <f>'CSs and Loads'!W154</f>
        <v>0</v>
      </c>
      <c r="P54" s="70" t="s">
        <v>84</v>
      </c>
      <c r="Q54" s="49">
        <f>'CSs and Loads'!Y154</f>
        <v>1.7979931097838225E-4</v>
      </c>
      <c r="R54" s="49">
        <f>'CSs and Loads'!Z154</f>
        <v>0</v>
      </c>
      <c r="S54" s="49">
        <f>'CSs and Loads'!AA154</f>
        <v>1.358853288223759E-9</v>
      </c>
      <c r="T54" s="49">
        <f>'CSs and Loads'!AB154</f>
        <v>1.6232231624741719E-5</v>
      </c>
    </row>
    <row r="55" spans="1:20" x14ac:dyDescent="0.25">
      <c r="A55" s="44">
        <f>'CSs and Loads'!A149</f>
        <v>1</v>
      </c>
      <c r="B55" s="70" t="s">
        <v>112</v>
      </c>
      <c r="C55" s="71">
        <f t="shared" ref="C55:C56" si="13">((G55+H55+I55+J55)+SQRT(G55^2+H55^2+I55^2+J55^2))/2</f>
        <v>0</v>
      </c>
      <c r="D55" s="48">
        <f t="shared" ref="D55:D56" si="14">L55+M55+N55+O55</f>
        <v>0</v>
      </c>
      <c r="E55" s="48">
        <f t="shared" ref="E55:E56" si="15">Q55+R55+S55+T55</f>
        <v>-8.2884846004263549E-3</v>
      </c>
      <c r="F55" s="70" t="s">
        <v>112</v>
      </c>
      <c r="G55" s="49">
        <f>'CSs and Loads'!T148</f>
        <v>0</v>
      </c>
      <c r="H55" s="49">
        <f>'CSs and Loads'!U148</f>
        <v>0</v>
      </c>
      <c r="I55" s="49">
        <f>'CSs and Loads'!V148</f>
        <v>0</v>
      </c>
      <c r="J55" s="49">
        <f>'CSs and Loads'!W148</f>
        <v>0</v>
      </c>
      <c r="K55" s="70" t="s">
        <v>112</v>
      </c>
      <c r="L55" s="49">
        <f>'CSs and Loads'!T155</f>
        <v>0</v>
      </c>
      <c r="M55" s="49">
        <f>'CSs and Loads'!U155</f>
        <v>0</v>
      </c>
      <c r="N55" s="49">
        <f>'CSs and Loads'!V155</f>
        <v>0</v>
      </c>
      <c r="O55" s="49">
        <f>'CSs and Loads'!W155</f>
        <v>0</v>
      </c>
      <c r="P55" s="70" t="s">
        <v>112</v>
      </c>
      <c r="Q55" s="49">
        <f>'CSs and Loads'!Y155</f>
        <v>-8.1940059772609899E-3</v>
      </c>
      <c r="R55" s="49">
        <f>'CSs and Loads'!Z155</f>
        <v>-7.5491849345876124E-10</v>
      </c>
      <c r="S55" s="49">
        <f>'CSs and Loads'!AA155</f>
        <v>0</v>
      </c>
      <c r="T55" s="49">
        <f>'CSs and Loads'!AB155</f>
        <v>-9.4477868246870827E-5</v>
      </c>
    </row>
    <row r="56" spans="1:20" s="52" customFormat="1" ht="16.5" thickBot="1" x14ac:dyDescent="0.3">
      <c r="B56" s="72" t="s">
        <v>113</v>
      </c>
      <c r="C56" s="73">
        <f t="shared" si="13"/>
        <v>0</v>
      </c>
      <c r="D56" s="74">
        <f t="shared" si="14"/>
        <v>0</v>
      </c>
      <c r="E56" s="74">
        <f t="shared" si="15"/>
        <v>4.227508333779433E-7</v>
      </c>
      <c r="F56" s="72" t="s">
        <v>113</v>
      </c>
      <c r="G56" s="75">
        <f>'CSs and Loads'!T149</f>
        <v>0</v>
      </c>
      <c r="H56" s="75">
        <f>'CSs and Loads'!U149</f>
        <v>0</v>
      </c>
      <c r="I56" s="75">
        <f>'CSs and Loads'!V149</f>
        <v>0</v>
      </c>
      <c r="J56" s="75">
        <f>'CSs and Loads'!W149</f>
        <v>0</v>
      </c>
      <c r="K56" s="72" t="s">
        <v>113</v>
      </c>
      <c r="L56" s="75">
        <f>'CSs and Loads'!T156</f>
        <v>0</v>
      </c>
      <c r="M56" s="75">
        <f>'CSs and Loads'!U156</f>
        <v>0</v>
      </c>
      <c r="N56" s="75">
        <f>'CSs and Loads'!V156</f>
        <v>0</v>
      </c>
      <c r="O56" s="75">
        <f>'CSs and Loads'!W156</f>
        <v>0</v>
      </c>
      <c r="P56" s="72" t="s">
        <v>113</v>
      </c>
      <c r="Q56" s="75">
        <f>'CSs and Loads'!Y156</f>
        <v>0</v>
      </c>
      <c r="R56" s="75">
        <f>'CSs and Loads'!Z156</f>
        <v>1.509824404921226E-7</v>
      </c>
      <c r="S56" s="75">
        <f>'CSs and Loads'!AA156</f>
        <v>2.717683928858207E-7</v>
      </c>
      <c r="T56" s="75">
        <f>'CSs and Loads'!AB156</f>
        <v>0</v>
      </c>
    </row>
    <row r="57" spans="1:20" s="321" customFormat="1" x14ac:dyDescent="0.25"/>
    <row r="58" spans="1:20" x14ac:dyDescent="0.25">
      <c r="A58" s="23" t="s">
        <v>128</v>
      </c>
      <c r="B58" s="9" t="str">
        <f>'CSs and Loads'!A187</f>
        <v>X-axis</v>
      </c>
      <c r="C58" s="324" t="s">
        <v>152</v>
      </c>
      <c r="D58" s="324"/>
      <c r="E58" s="332" t="s">
        <v>153</v>
      </c>
    </row>
    <row r="59" spans="1:20" x14ac:dyDescent="0.25">
      <c r="A59" s="44">
        <f>A52+1</f>
        <v>6</v>
      </c>
      <c r="C59" s="26" t="s">
        <v>109</v>
      </c>
      <c r="D59" s="26" t="s">
        <v>110</v>
      </c>
      <c r="E59" s="332"/>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no</v>
      </c>
      <c r="B61" s="70" t="s">
        <v>84</v>
      </c>
      <c r="C61" s="71">
        <f>((G61+H61+I61+J61)+SQRT(G61^2+H61^2+I61^2+J61^2))/2</f>
        <v>5.050499100017718E-3</v>
      </c>
      <c r="D61" s="48">
        <f>L61+M61+N61+O61</f>
        <v>0</v>
      </c>
      <c r="E61" s="48">
        <f>Q61+R61+S61+T61</f>
        <v>2.5032395599671907E-4</v>
      </c>
      <c r="F61" s="70" t="s">
        <v>84</v>
      </c>
      <c r="G61" s="49">
        <f>'CSs and Loads'!T180</f>
        <v>5.0000000000000001E-3</v>
      </c>
      <c r="H61" s="49">
        <f>'CSs and Loads'!U180</f>
        <v>0</v>
      </c>
      <c r="I61" s="49">
        <f>'CSs and Loads'!V180</f>
        <v>0</v>
      </c>
      <c r="J61" s="49">
        <f>'CSs and Loads'!W180</f>
        <v>9.9998333341666716E-5</v>
      </c>
      <c r="K61" s="70" t="s">
        <v>84</v>
      </c>
      <c r="L61" s="49">
        <f>'CSs and Loads'!T187</f>
        <v>0</v>
      </c>
      <c r="M61" s="49">
        <f>'CSs and Loads'!U187</f>
        <v>0</v>
      </c>
      <c r="N61" s="49">
        <f>'CSs and Loads'!V187</f>
        <v>0</v>
      </c>
      <c r="O61" s="49">
        <f>'CSs and Loads'!W187</f>
        <v>0</v>
      </c>
      <c r="P61" s="70" t="s">
        <v>84</v>
      </c>
      <c r="Q61" s="49">
        <f>'CSs and Loads'!Y187</f>
        <v>2.5032101201769773E-4</v>
      </c>
      <c r="R61" s="49">
        <f>'CSs and Loads'!Z187</f>
        <v>0</v>
      </c>
      <c r="S61" s="49">
        <f>'CSs and Loads'!AA187</f>
        <v>0</v>
      </c>
      <c r="T61" s="49">
        <f>'CSs and Loads'!AB187</f>
        <v>2.9439790213306319E-9</v>
      </c>
    </row>
    <row r="62" spans="1:20" x14ac:dyDescent="0.25">
      <c r="A62" s="44">
        <f>'CSs and Loads'!A182</f>
        <v>0</v>
      </c>
      <c r="B62" s="70" t="s">
        <v>112</v>
      </c>
      <c r="C62" s="71">
        <f t="shared" ref="C62:C63" si="16">((G62+H62+I62+J62)+SQRT(G62^2+H62^2+I62^2+J62^2))/2</f>
        <v>5.0005000208329306E-3</v>
      </c>
      <c r="D62" s="48">
        <f t="shared" ref="D62:D63" si="17">L62+M62+N62+O62</f>
        <v>0</v>
      </c>
      <c r="E62" s="48">
        <f t="shared" ref="E62:E63" si="18">Q62+R62+S62+T62</f>
        <v>-7.432361946644991E-5</v>
      </c>
      <c r="F62" s="70" t="s">
        <v>112</v>
      </c>
      <c r="G62" s="49">
        <f>'CSs and Loads'!T181</f>
        <v>5.0000000000000001E-3</v>
      </c>
      <c r="H62" s="49">
        <f>'CSs and Loads'!U181</f>
        <v>4.9999583334736673E-7</v>
      </c>
      <c r="I62" s="49">
        <f>'CSs and Loads'!V181</f>
        <v>0</v>
      </c>
      <c r="J62" s="49">
        <f>'CSs and Loads'!W181</f>
        <v>4.9999583334736673E-7</v>
      </c>
      <c r="K62" s="70" t="s">
        <v>112</v>
      </c>
      <c r="L62" s="49">
        <f>'CSs and Loads'!T188</f>
        <v>0</v>
      </c>
      <c r="M62" s="49">
        <f>'CSs and Loads'!U188</f>
        <v>0</v>
      </c>
      <c r="N62" s="49">
        <f>'CSs and Loads'!V188</f>
        <v>0</v>
      </c>
      <c r="O62" s="49">
        <f>'CSs and Loads'!W188</f>
        <v>0</v>
      </c>
      <c r="P62" s="70" t="s">
        <v>112</v>
      </c>
      <c r="Q62" s="49">
        <f>'CSs and Loads'!Y188</f>
        <v>-7.432363418646769E-5</v>
      </c>
      <c r="R62" s="49">
        <f>'CSs and Loads'!Z188</f>
        <v>0</v>
      </c>
      <c r="S62" s="49">
        <f>'CSs and Loads'!AA188</f>
        <v>0</v>
      </c>
      <c r="T62" s="49">
        <f>'CSs and Loads'!AB188</f>
        <v>1.4720017773676631E-11</v>
      </c>
    </row>
    <row r="63" spans="1:20" s="52" customFormat="1" ht="16.5" thickBot="1" x14ac:dyDescent="0.3">
      <c r="B63" s="72" t="s">
        <v>113</v>
      </c>
      <c r="C63" s="73">
        <f t="shared" si="16"/>
        <v>5.050499100017718E-3</v>
      </c>
      <c r="D63" s="74">
        <f t="shared" si="17"/>
        <v>0</v>
      </c>
      <c r="E63" s="74">
        <f t="shared" si="18"/>
        <v>0</v>
      </c>
      <c r="F63" s="72" t="s">
        <v>113</v>
      </c>
      <c r="G63" s="75">
        <f>'CSs and Loads'!T182</f>
        <v>5.0000000000000001E-3</v>
      </c>
      <c r="H63" s="75">
        <f>'CSs and Loads'!U182</f>
        <v>9.9998333341666716E-5</v>
      </c>
      <c r="I63" s="75">
        <f>'CSs and Loads'!V182</f>
        <v>0</v>
      </c>
      <c r="J63" s="75">
        <f>'CSs and Loads'!W182</f>
        <v>0</v>
      </c>
      <c r="K63" s="72" t="s">
        <v>113</v>
      </c>
      <c r="L63" s="75">
        <f>'CSs and Loads'!T189</f>
        <v>0</v>
      </c>
      <c r="M63" s="75">
        <f>'CSs and Loads'!U189</f>
        <v>0</v>
      </c>
      <c r="N63" s="75">
        <f>'CSs and Loads'!V189</f>
        <v>0</v>
      </c>
      <c r="O63" s="75">
        <f>'CSs and Loads'!W189</f>
        <v>0</v>
      </c>
      <c r="P63" s="72" t="s">
        <v>113</v>
      </c>
      <c r="Q63" s="75">
        <f>'CSs and Loads'!Y189</f>
        <v>0</v>
      </c>
      <c r="R63" s="75">
        <f>'CSs and Loads'!Z189</f>
        <v>0</v>
      </c>
      <c r="S63" s="75">
        <f>'CSs and Loads'!AA189</f>
        <v>0</v>
      </c>
      <c r="T63" s="75">
        <f>'CSs and Loads'!AB189</f>
        <v>0</v>
      </c>
    </row>
    <row r="64" spans="1:20" s="321" customFormat="1" x14ac:dyDescent="0.25"/>
    <row r="65" spans="1:20" x14ac:dyDescent="0.25">
      <c r="A65" s="23" t="s">
        <v>128</v>
      </c>
      <c r="B65" s="9" t="str">
        <f>'CSs and Loads'!A220</f>
        <v>Bed &amp; Frame</v>
      </c>
      <c r="C65" s="324" t="s">
        <v>152</v>
      </c>
      <c r="D65" s="324"/>
      <c r="E65" s="332" t="s">
        <v>153</v>
      </c>
    </row>
    <row r="66" spans="1:20" x14ac:dyDescent="0.25">
      <c r="A66" s="44">
        <f>A59+1</f>
        <v>7</v>
      </c>
      <c r="C66" s="26" t="s">
        <v>109</v>
      </c>
      <c r="D66" s="26" t="s">
        <v>110</v>
      </c>
      <c r="E66" s="332"/>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no</v>
      </c>
      <c r="B68" s="70" t="s">
        <v>84</v>
      </c>
      <c r="C68" s="71">
        <f>((G68+H68+I68+J68)+SQRT(G68^2+H68^2+I68^2+J68^2))/2</f>
        <v>5.0000000000000001E-3</v>
      </c>
      <c r="D68" s="48">
        <f>L68+M68+N68+O68</f>
        <v>0</v>
      </c>
      <c r="E68" s="48">
        <f>Q68+R68+S68+T68</f>
        <v>1.7217323663187434E-6</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1.7217323663187434E-6</v>
      </c>
      <c r="R68" s="49">
        <f>'CSs and Loads'!Z220</f>
        <v>0</v>
      </c>
      <c r="S68" s="49">
        <f>'CSs and Loads'!AA220</f>
        <v>0</v>
      </c>
      <c r="T68" s="49">
        <f>'CSs and Loads'!AB220</f>
        <v>0</v>
      </c>
    </row>
    <row r="69" spans="1:20" x14ac:dyDescent="0.25">
      <c r="A69" s="44">
        <f>'CSs and Loads'!A215</f>
        <v>0</v>
      </c>
      <c r="B69" s="70" t="s">
        <v>112</v>
      </c>
      <c r="C69" s="71">
        <f t="shared" ref="C69:C70" si="19">((G69+H69+I69+J69)+SQRT(G69^2+H69^2+I69^2+J69^2))/2</f>
        <v>5.0000000000000001E-3</v>
      </c>
      <c r="D69" s="48">
        <f t="shared" ref="D69:D70" si="20">L69+M69+N69+O69</f>
        <v>0</v>
      </c>
      <c r="E69" s="48">
        <f t="shared" ref="E69:E70" si="21">Q69+R69+S69+T69</f>
        <v>-5.7308085130663016E-6</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-5.7308085130663016E-6</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0</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0</v>
      </c>
      <c r="R70" s="75">
        <f>'CSs and Loads'!Z222</f>
        <v>0</v>
      </c>
      <c r="S70" s="75">
        <f>'CSs and Loads'!AA222</f>
        <v>0</v>
      </c>
      <c r="T70" s="75">
        <f>'CSs and Loads'!AB222</f>
        <v>0</v>
      </c>
    </row>
    <row r="71" spans="1:20" s="321" customFormat="1" x14ac:dyDescent="0.25"/>
    <row r="72" spans="1:20" x14ac:dyDescent="0.25">
      <c r="A72" s="23" t="s">
        <v>128</v>
      </c>
      <c r="B72" s="9" t="str">
        <f>'CSs and Loads'!A253</f>
        <v>Thing 8</v>
      </c>
      <c r="C72" s="324" t="s">
        <v>152</v>
      </c>
      <c r="D72" s="324"/>
      <c r="E72" s="332" t="s">
        <v>153</v>
      </c>
    </row>
    <row r="73" spans="1:20" x14ac:dyDescent="0.25">
      <c r="A73" s="44">
        <f>A66+1</f>
        <v>8</v>
      </c>
      <c r="C73" s="26" t="s">
        <v>109</v>
      </c>
      <c r="D73" s="26" t="s">
        <v>110</v>
      </c>
      <c r="E73" s="332"/>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4.4209706414415371E-4</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4.4209706414415371E-4</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-3.8639876352395671E-6</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-3.8639876352395671E-6</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0</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0</v>
      </c>
      <c r="R77" s="75">
        <f>'CSs and Loads'!Z255</f>
        <v>0</v>
      </c>
      <c r="S77" s="75">
        <f>'CSs and Loads'!AA255</f>
        <v>0</v>
      </c>
      <c r="T77" s="75">
        <f>'CSs and Loads'!AB255</f>
        <v>0</v>
      </c>
    </row>
    <row r="78" spans="1:20" s="321" customFormat="1" x14ac:dyDescent="0.25"/>
    <row r="79" spans="1:20" x14ac:dyDescent="0.25">
      <c r="A79" s="23" t="s">
        <v>128</v>
      </c>
      <c r="B79" s="9" t="str">
        <f>'CSs and Loads'!A286</f>
        <v>Thing 9</v>
      </c>
      <c r="C79" s="324" t="s">
        <v>152</v>
      </c>
      <c r="D79" s="324"/>
      <c r="E79" s="332" t="s">
        <v>153</v>
      </c>
    </row>
    <row r="80" spans="1:20" x14ac:dyDescent="0.25">
      <c r="A80" s="44">
        <f>A73+1</f>
        <v>9</v>
      </c>
      <c r="C80" s="26" t="s">
        <v>109</v>
      </c>
      <c r="D80" s="26" t="s">
        <v>110</v>
      </c>
      <c r="E80" s="332"/>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5.0050024582655372E-3</v>
      </c>
      <c r="D82" s="48">
        <f>L82+M82+N82+O82</f>
        <v>0</v>
      </c>
      <c r="E82" s="48">
        <f>Q82+R82+S82+T82</f>
        <v>4.4209782116399414E-4</v>
      </c>
      <c r="F82" s="70" t="s">
        <v>84</v>
      </c>
      <c r="G82" s="49">
        <f>'CSs and Loads'!T279</f>
        <v>5.0000000000000001E-3</v>
      </c>
      <c r="H82" s="49">
        <f>'CSs and Loads'!U279</f>
        <v>0</v>
      </c>
      <c r="I82" s="49">
        <f>'CSs and Loads'!V279</f>
        <v>4.9999582834785253E-6</v>
      </c>
      <c r="J82" s="49">
        <f>'CSs and Loads'!W279</f>
        <v>4.9999583334781085E-6</v>
      </c>
      <c r="K82" s="70" t="s">
        <v>84</v>
      </c>
      <c r="L82" s="49">
        <f>'CSs and Loads'!T286</f>
        <v>0</v>
      </c>
      <c r="M82" s="49">
        <f>'CSs and Loads'!U286</f>
        <v>0</v>
      </c>
      <c r="N82" s="49">
        <f>'CSs and Loads'!V286</f>
        <v>0</v>
      </c>
      <c r="O82" s="49">
        <f>'CSs and Loads'!W286</f>
        <v>0</v>
      </c>
      <c r="P82" s="70" t="s">
        <v>84</v>
      </c>
      <c r="Q82" s="49">
        <f>'CSs and Loads'!Y286</f>
        <v>4.4209706414415371E-4</v>
      </c>
      <c r="R82" s="49">
        <f>'CSs and Loads'!Z286</f>
        <v>0</v>
      </c>
      <c r="S82" s="49">
        <f>'CSs and Loads'!AA286</f>
        <v>0</v>
      </c>
      <c r="T82" s="49">
        <f>'CSs and Loads'!AB286</f>
        <v>7.5701984041557269E-10</v>
      </c>
    </row>
    <row r="83" spans="1:20" x14ac:dyDescent="0.25">
      <c r="A83" s="44">
        <f>'CSs and Loads'!A281</f>
        <v>0</v>
      </c>
      <c r="B83" s="70" t="s">
        <v>112</v>
      </c>
      <c r="C83" s="71">
        <f t="shared" ref="C83:C84" si="25">((G83+H83+I83+J83)+SQRT(G83^2+H83^2+I83^2+J83^2))/2</f>
        <v>5.5494997892248672E-3</v>
      </c>
      <c r="D83" s="48">
        <f t="shared" ref="D83:D84" si="26">L83+M83+N83+O83</f>
        <v>0</v>
      </c>
      <c r="E83" s="48">
        <f t="shared" ref="E83:E84" si="27">Q83+R83+S83+T83</f>
        <v>-4.0153903416206669E-6</v>
      </c>
      <c r="F83" s="70" t="s">
        <v>112</v>
      </c>
      <c r="G83" s="49">
        <f>'CSs and Loads'!T280</f>
        <v>5.0000000000000001E-3</v>
      </c>
      <c r="H83" s="49">
        <f>'CSs and Loads'!U280</f>
        <v>0</v>
      </c>
      <c r="I83" s="49">
        <f>'CSs and Loads'!V280</f>
        <v>0</v>
      </c>
      <c r="J83" s="49">
        <f>'CSs and Loads'!W280</f>
        <v>9.9998333341666718E-4</v>
      </c>
      <c r="K83" s="70" t="s">
        <v>112</v>
      </c>
      <c r="L83" s="49">
        <f>'CSs and Loads'!T287</f>
        <v>0</v>
      </c>
      <c r="M83" s="49">
        <f>'CSs and Loads'!U287</f>
        <v>0</v>
      </c>
      <c r="N83" s="49">
        <f>'CSs and Loads'!V287</f>
        <v>0</v>
      </c>
      <c r="O83" s="49">
        <f>'CSs and Loads'!W287</f>
        <v>0</v>
      </c>
      <c r="P83" s="70" t="s">
        <v>112</v>
      </c>
      <c r="Q83" s="49">
        <f>'CSs and Loads'!Y287</f>
        <v>-3.8639876352395671E-6</v>
      </c>
      <c r="R83" s="49">
        <f>'CSs and Loads'!Z287</f>
        <v>0</v>
      </c>
      <c r="S83" s="49">
        <f>'CSs and Loads'!AA287</f>
        <v>0</v>
      </c>
      <c r="T83" s="49">
        <f>'CSs and Loads'!AB287</f>
        <v>-1.5140270638109954E-7</v>
      </c>
    </row>
    <row r="84" spans="1:20" s="52" customFormat="1" ht="16.5" thickBot="1" x14ac:dyDescent="0.3">
      <c r="B84" s="72" t="s">
        <v>113</v>
      </c>
      <c r="C84" s="73">
        <f t="shared" si="25"/>
        <v>5.549499783244401E-3</v>
      </c>
      <c r="D84" s="74">
        <f t="shared" si="26"/>
        <v>0</v>
      </c>
      <c r="E84" s="74">
        <f t="shared" si="27"/>
        <v>0</v>
      </c>
      <c r="F84" s="72" t="s">
        <v>113</v>
      </c>
      <c r="G84" s="75">
        <f>'CSs and Loads'!T281</f>
        <v>5.0000000000000001E-3</v>
      </c>
      <c r="H84" s="75">
        <f>'CSs and Loads'!U281</f>
        <v>0</v>
      </c>
      <c r="I84" s="75">
        <f>'CSs and Loads'!V281</f>
        <v>9.9998332341683397E-4</v>
      </c>
      <c r="J84" s="75">
        <f>'CSs and Loads'!W281</f>
        <v>0</v>
      </c>
      <c r="K84" s="72" t="s">
        <v>113</v>
      </c>
      <c r="L84" s="75">
        <f>'CSs and Loads'!T288</f>
        <v>0</v>
      </c>
      <c r="M84" s="75">
        <f>'CSs and Loads'!U288</f>
        <v>0</v>
      </c>
      <c r="N84" s="75">
        <f>'CSs and Loads'!V288</f>
        <v>0</v>
      </c>
      <c r="O84" s="75">
        <f>'CSs and Loads'!W288</f>
        <v>0</v>
      </c>
      <c r="P84" s="72" t="s">
        <v>113</v>
      </c>
      <c r="Q84" s="75">
        <f>'CSs and Loads'!Y288</f>
        <v>0</v>
      </c>
      <c r="R84" s="75">
        <f>'CSs and Loads'!Z288</f>
        <v>0</v>
      </c>
      <c r="S84" s="75">
        <f>'CSs and Loads'!AA288</f>
        <v>0</v>
      </c>
      <c r="T84" s="75">
        <f>'CSs and Loads'!AB288</f>
        <v>0</v>
      </c>
    </row>
    <row r="85" spans="1:20" s="321" customFormat="1" x14ac:dyDescent="0.25"/>
    <row r="86" spans="1:20" x14ac:dyDescent="0.25">
      <c r="A86" s="23" t="s">
        <v>128</v>
      </c>
      <c r="B86" s="9" t="str">
        <f>'CSs and Loads'!A319</f>
        <v>Thing 10</v>
      </c>
      <c r="C86" s="324" t="s">
        <v>152</v>
      </c>
      <c r="D86" s="324"/>
      <c r="E86" s="332" t="s">
        <v>153</v>
      </c>
    </row>
    <row r="87" spans="1:20" x14ac:dyDescent="0.25">
      <c r="A87" s="44">
        <f>A80+1</f>
        <v>10</v>
      </c>
      <c r="C87" s="26" t="s">
        <v>109</v>
      </c>
      <c r="D87" s="26" t="s">
        <v>110</v>
      </c>
      <c r="E87" s="332"/>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5.0100099164301914E-3</v>
      </c>
      <c r="D89" s="48">
        <f>L89+M89+N89+O89</f>
        <v>0</v>
      </c>
      <c r="E89" s="48">
        <f>Q89+R89+S89+T89</f>
        <v>4.4210009222351535E-4</v>
      </c>
      <c r="F89" s="70" t="s">
        <v>84</v>
      </c>
      <c r="G89" s="49">
        <f>'CSs and Loads'!T312</f>
        <v>5.0000000000000001E-3</v>
      </c>
      <c r="H89" s="49">
        <f>'CSs and Loads'!U312</f>
        <v>0</v>
      </c>
      <c r="I89" s="49">
        <f>'CSs and Loads'!V312</f>
        <v>9.9999165669570506E-6</v>
      </c>
      <c r="J89" s="49">
        <f>'CSs and Loads'!W312</f>
        <v>9.999916666956217E-6</v>
      </c>
      <c r="K89" s="70" t="s">
        <v>84</v>
      </c>
      <c r="L89" s="49">
        <f>'CSs and Loads'!T319</f>
        <v>0</v>
      </c>
      <c r="M89" s="49">
        <f>'CSs and Loads'!U319</f>
        <v>0</v>
      </c>
      <c r="N89" s="49">
        <f>'CSs and Loads'!V319</f>
        <v>0</v>
      </c>
      <c r="O89" s="49">
        <f>'CSs and Loads'!W319</f>
        <v>0</v>
      </c>
      <c r="P89" s="70" t="s">
        <v>84</v>
      </c>
      <c r="Q89" s="49">
        <f>'CSs and Loads'!Y319</f>
        <v>4.4209706414415371E-4</v>
      </c>
      <c r="R89" s="49">
        <f>'CSs and Loads'!Z319</f>
        <v>0</v>
      </c>
      <c r="S89" s="49">
        <f>'CSs and Loads'!AA319</f>
        <v>0</v>
      </c>
      <c r="T89" s="49">
        <f>'CSs and Loads'!AB319</f>
        <v>3.0280793616622908E-9</v>
      </c>
    </row>
    <row r="90" spans="1:20" x14ac:dyDescent="0.25">
      <c r="A90" s="44">
        <f>'CSs and Loads'!A314</f>
        <v>0</v>
      </c>
      <c r="B90" s="70" t="s">
        <v>112</v>
      </c>
      <c r="C90" s="71">
        <f t="shared" ref="C90:C91" si="28">((G90+H90+I90+J90)+SQRT(G90^2+H90^2+I90^2+J90^2))/2</f>
        <v>6.1925595472147304E-3</v>
      </c>
      <c r="D90" s="48">
        <f t="shared" ref="D90:D91" si="29">L90+M90+N90+O90</f>
        <v>0</v>
      </c>
      <c r="E90" s="48">
        <f t="shared" ref="E90:E91" si="30">Q90+R90+S90+T90</f>
        <v>-4.4695984607639656E-6</v>
      </c>
      <c r="F90" s="70" t="s">
        <v>112</v>
      </c>
      <c r="G90" s="49">
        <f>'CSs and Loads'!T313</f>
        <v>5.0000000000000001E-3</v>
      </c>
      <c r="H90" s="49">
        <f>'CSs and Loads'!U313</f>
        <v>0</v>
      </c>
      <c r="I90" s="49">
        <f>'CSs and Loads'!V313</f>
        <v>0</v>
      </c>
      <c r="J90" s="49">
        <f>'CSs and Loads'!W313</f>
        <v>1.9999666668333344E-3</v>
      </c>
      <c r="K90" s="70" t="s">
        <v>112</v>
      </c>
      <c r="L90" s="49">
        <f>'CSs and Loads'!T320</f>
        <v>0</v>
      </c>
      <c r="M90" s="49">
        <f>'CSs and Loads'!U320</f>
        <v>0</v>
      </c>
      <c r="N90" s="49">
        <f>'CSs and Loads'!V320</f>
        <v>0</v>
      </c>
      <c r="O90" s="49">
        <f>'CSs and Loads'!W320</f>
        <v>0</v>
      </c>
      <c r="P90" s="70" t="s">
        <v>112</v>
      </c>
      <c r="Q90" s="49">
        <f>'CSs and Loads'!Y320</f>
        <v>-3.8639876352395671E-6</v>
      </c>
      <c r="R90" s="49">
        <f>'CSs and Loads'!Z320</f>
        <v>0</v>
      </c>
      <c r="S90" s="49">
        <f>'CSs and Loads'!AA320</f>
        <v>0</v>
      </c>
      <c r="T90" s="49">
        <f>'CSs and Loads'!AB320</f>
        <v>-6.0561082552439816E-7</v>
      </c>
    </row>
    <row r="91" spans="1:20" s="52" customFormat="1" ht="16.5" thickBot="1" x14ac:dyDescent="0.3">
      <c r="B91" s="72" t="s">
        <v>113</v>
      </c>
      <c r="C91" s="73">
        <f t="shared" si="28"/>
        <v>6.1925595335011047E-3</v>
      </c>
      <c r="D91" s="74">
        <f t="shared" si="29"/>
        <v>0</v>
      </c>
      <c r="E91" s="74">
        <f t="shared" si="30"/>
        <v>0</v>
      </c>
      <c r="F91" s="72" t="s">
        <v>113</v>
      </c>
      <c r="G91" s="75">
        <f>'CSs and Loads'!T314</f>
        <v>5.0000000000000001E-3</v>
      </c>
      <c r="H91" s="75">
        <f>'CSs and Loads'!U314</f>
        <v>0</v>
      </c>
      <c r="I91" s="75">
        <f>'CSs and Loads'!V314</f>
        <v>1.9999666468336679E-3</v>
      </c>
      <c r="J91" s="75">
        <f>'CSs and Loads'!W314</f>
        <v>0</v>
      </c>
      <c r="K91" s="72" t="s">
        <v>113</v>
      </c>
      <c r="L91" s="75">
        <f>'CSs and Loads'!T321</f>
        <v>0</v>
      </c>
      <c r="M91" s="75">
        <f>'CSs and Loads'!U321</f>
        <v>0</v>
      </c>
      <c r="N91" s="75">
        <f>'CSs and Loads'!V321</f>
        <v>0</v>
      </c>
      <c r="O91" s="75">
        <f>'CSs and Loads'!W321</f>
        <v>0</v>
      </c>
      <c r="P91" s="72" t="s">
        <v>113</v>
      </c>
      <c r="Q91" s="75">
        <f>'CSs and Loads'!Y321</f>
        <v>0</v>
      </c>
      <c r="R91" s="75">
        <f>'CSs and Loads'!Z321</f>
        <v>0</v>
      </c>
      <c r="S91" s="75">
        <f>'CSs and Loads'!AA321</f>
        <v>0</v>
      </c>
      <c r="T91" s="75">
        <f>'CSs and Loads'!AB321</f>
        <v>0</v>
      </c>
    </row>
  </sheetData>
  <mergeCells count="32">
    <mergeCell ref="I3:K6"/>
    <mergeCell ref="E51:E52"/>
    <mergeCell ref="C23:D23"/>
    <mergeCell ref="E23:E24"/>
    <mergeCell ref="C30:D30"/>
    <mergeCell ref="E30:E31"/>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A1:G1"/>
    <mergeCell ref="A2:G2"/>
    <mergeCell ref="A3:G3"/>
    <mergeCell ref="G13:G14"/>
    <mergeCell ref="A6:B6"/>
    <mergeCell ref="A7:B7"/>
    <mergeCell ref="A12:A19"/>
    <mergeCell ref="B12:G12"/>
    <mergeCell ref="C13:F13"/>
    <mergeCell ref="E5:G5"/>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6" t="str">
        <f>'CSs and Loads'!A243</f>
        <v>CS 8</v>
      </c>
      <c r="B1" s="206" t="str">
        <f>'CSs and Loads'!A121</f>
        <v>Vise</v>
      </c>
    </row>
    <row r="2" spans="1:18" x14ac:dyDescent="0.25">
      <c r="A2" s="82" t="s">
        <v>132</v>
      </c>
      <c r="I2" s="207"/>
      <c r="L2" s="208"/>
      <c r="M2" s="208"/>
      <c r="N2" s="208"/>
    </row>
    <row r="3" spans="1:18" x14ac:dyDescent="0.25">
      <c r="A3" s="209" t="s">
        <v>111</v>
      </c>
      <c r="E3" s="367" t="s">
        <v>368</v>
      </c>
      <c r="F3" s="367"/>
      <c r="G3" s="367"/>
      <c r="H3" s="367"/>
      <c r="I3" s="367"/>
      <c r="J3" s="367"/>
      <c r="K3" s="367"/>
      <c r="L3" s="367"/>
      <c r="M3" s="367"/>
      <c r="O3" s="210"/>
      <c r="P3" s="210"/>
      <c r="Q3" s="210"/>
      <c r="R3" s="210"/>
    </row>
    <row r="4" spans="1:18" x14ac:dyDescent="0.25">
      <c r="A4" s="209"/>
      <c r="C4" s="82" t="s">
        <v>365</v>
      </c>
      <c r="D4" s="82"/>
      <c r="E4" s="383" t="s">
        <v>367</v>
      </c>
      <c r="F4" s="383"/>
      <c r="G4" s="383"/>
      <c r="H4" s="383"/>
      <c r="I4" s="383"/>
      <c r="J4" s="383"/>
      <c r="K4" s="383"/>
      <c r="L4" s="383"/>
      <c r="M4" s="383"/>
      <c r="O4" s="210"/>
      <c r="P4" s="210"/>
      <c r="Q4" s="210"/>
      <c r="R4" s="210"/>
    </row>
    <row r="5" spans="1:18" x14ac:dyDescent="0.25">
      <c r="A5" s="209"/>
      <c r="C5" s="102" t="s">
        <v>363</v>
      </c>
      <c r="D5" s="82">
        <v>25</v>
      </c>
      <c r="E5" s="119" t="s">
        <v>282</v>
      </c>
      <c r="F5" s="353" t="s">
        <v>285</v>
      </c>
      <c r="G5" s="148">
        <v>0</v>
      </c>
      <c r="H5" s="148">
        <v>0</v>
      </c>
      <c r="I5" s="148">
        <v>0</v>
      </c>
      <c r="J5" s="148">
        <v>0</v>
      </c>
      <c r="K5" s="148">
        <v>0</v>
      </c>
      <c r="L5" s="148">
        <v>0</v>
      </c>
      <c r="M5" s="215" t="s">
        <v>276</v>
      </c>
      <c r="O5" s="210"/>
      <c r="P5" s="210"/>
      <c r="Q5" s="210"/>
      <c r="R5" s="210"/>
    </row>
    <row r="6" spans="1:18" x14ac:dyDescent="0.25">
      <c r="A6" s="209"/>
      <c r="C6" s="102" t="s">
        <v>32</v>
      </c>
      <c r="D6" s="82">
        <f>1770*9.8</f>
        <v>17346</v>
      </c>
      <c r="E6" s="119" t="s">
        <v>283</v>
      </c>
      <c r="F6" s="353"/>
      <c r="G6" s="148">
        <v>0</v>
      </c>
      <c r="H6" s="148">
        <v>0</v>
      </c>
      <c r="I6" s="148">
        <v>0</v>
      </c>
      <c r="J6" s="148">
        <v>0</v>
      </c>
      <c r="K6" s="148">
        <v>0</v>
      </c>
      <c r="L6" s="148">
        <v>0</v>
      </c>
      <c r="M6" s="215" t="s">
        <v>277</v>
      </c>
      <c r="O6" s="210"/>
      <c r="P6" s="210"/>
      <c r="Q6" s="210"/>
      <c r="R6" s="210"/>
    </row>
    <row r="7" spans="1:18" x14ac:dyDescent="0.25">
      <c r="A7" s="209"/>
      <c r="C7" s="102" t="s">
        <v>242</v>
      </c>
      <c r="D7" s="82">
        <f>647*1000</f>
        <v>647000</v>
      </c>
      <c r="E7" s="119" t="s">
        <v>284</v>
      </c>
      <c r="F7" s="353"/>
      <c r="G7" s="148">
        <v>0</v>
      </c>
      <c r="H7" s="148">
        <v>0</v>
      </c>
      <c r="I7" s="148">
        <v>0</v>
      </c>
      <c r="J7" s="148">
        <v>0</v>
      </c>
      <c r="K7" s="148">
        <v>0</v>
      </c>
      <c r="L7" s="148">
        <v>0</v>
      </c>
      <c r="M7" s="215" t="s">
        <v>278</v>
      </c>
      <c r="O7" s="210"/>
      <c r="P7" s="210"/>
      <c r="Q7" s="210"/>
      <c r="R7" s="210"/>
    </row>
    <row r="8" spans="1:18" x14ac:dyDescent="0.25">
      <c r="A8" s="209"/>
      <c r="C8" s="102" t="s">
        <v>33</v>
      </c>
      <c r="D8" s="82">
        <v>3</v>
      </c>
      <c r="E8" s="119" t="s">
        <v>273</v>
      </c>
      <c r="F8" s="353"/>
      <c r="G8" s="148">
        <v>0</v>
      </c>
      <c r="H8" s="148">
        <v>0</v>
      </c>
      <c r="I8" s="148">
        <v>0</v>
      </c>
      <c r="J8" s="148">
        <v>0</v>
      </c>
      <c r="K8" s="148">
        <v>0</v>
      </c>
      <c r="L8" s="148">
        <v>0</v>
      </c>
      <c r="M8" s="215" t="s">
        <v>279</v>
      </c>
      <c r="O8" s="210"/>
      <c r="P8" s="210"/>
      <c r="Q8" s="210"/>
      <c r="R8" s="210"/>
    </row>
    <row r="9" spans="1:18" x14ac:dyDescent="0.25">
      <c r="A9" s="209"/>
      <c r="C9" s="102" t="s">
        <v>34</v>
      </c>
      <c r="D9" s="82">
        <v>0.01</v>
      </c>
      <c r="E9" s="119" t="s">
        <v>275</v>
      </c>
      <c r="F9" s="353"/>
      <c r="G9" s="148">
        <v>0</v>
      </c>
      <c r="H9" s="148">
        <v>0</v>
      </c>
      <c r="I9" s="148">
        <v>0</v>
      </c>
      <c r="J9" s="148">
        <v>0</v>
      </c>
      <c r="K9" s="148">
        <v>0</v>
      </c>
      <c r="L9" s="148">
        <v>0</v>
      </c>
      <c r="M9" s="215" t="s">
        <v>280</v>
      </c>
      <c r="O9" s="210"/>
      <c r="P9" s="210"/>
      <c r="Q9" s="210"/>
      <c r="R9" s="210"/>
    </row>
    <row r="10" spans="1:18" x14ac:dyDescent="0.25">
      <c r="A10" s="209"/>
      <c r="C10" s="102" t="s">
        <v>288</v>
      </c>
      <c r="D10" s="83">
        <f>D6/(D8*D9)</f>
        <v>578200</v>
      </c>
      <c r="E10" s="119" t="s">
        <v>274</v>
      </c>
      <c r="F10" s="353"/>
      <c r="G10" s="148">
        <v>0</v>
      </c>
      <c r="H10" s="148">
        <v>0</v>
      </c>
      <c r="I10" s="148">
        <v>0</v>
      </c>
      <c r="J10" s="148">
        <v>0</v>
      </c>
      <c r="K10" s="148">
        <v>0</v>
      </c>
      <c r="L10" s="148">
        <v>0</v>
      </c>
      <c r="M10" s="215" t="s">
        <v>281</v>
      </c>
      <c r="O10" s="210"/>
      <c r="P10" s="210"/>
      <c r="Q10" s="210"/>
      <c r="R10" s="210"/>
    </row>
    <row r="11" spans="1:18" x14ac:dyDescent="0.25">
      <c r="A11" s="209"/>
      <c r="C11" s="102" t="s">
        <v>35</v>
      </c>
      <c r="D11" s="82">
        <v>25</v>
      </c>
      <c r="O11" s="210"/>
      <c r="P11" s="210"/>
      <c r="Q11" s="210"/>
      <c r="R11" s="210"/>
    </row>
    <row r="12" spans="1:18" x14ac:dyDescent="0.25">
      <c r="A12" s="209"/>
      <c r="C12" s="102" t="s">
        <v>375</v>
      </c>
      <c r="D12" s="101">
        <f>D7*D11^2/4</f>
        <v>101093750</v>
      </c>
      <c r="O12" s="210"/>
      <c r="P12" s="210"/>
      <c r="Q12" s="210"/>
      <c r="R12" s="210"/>
    </row>
    <row r="13" spans="1:18" x14ac:dyDescent="0.25">
      <c r="A13" s="209"/>
      <c r="C13" s="102" t="s">
        <v>289</v>
      </c>
      <c r="D13" s="101">
        <f>D7*D11^2/12</f>
        <v>33697916.666666664</v>
      </c>
      <c r="O13" s="210"/>
      <c r="P13" s="210"/>
      <c r="Q13" s="210"/>
      <c r="R13" s="210"/>
    </row>
    <row r="14" spans="1:18" x14ac:dyDescent="0.25">
      <c r="A14" s="209"/>
      <c r="C14" s="102" t="s">
        <v>290</v>
      </c>
      <c r="D14" s="98">
        <f>D13</f>
        <v>33697916.666666664</v>
      </c>
      <c r="O14" s="210"/>
      <c r="P14" s="210"/>
      <c r="Q14" s="210"/>
      <c r="R14" s="210"/>
    </row>
    <row r="15" spans="1:18" x14ac:dyDescent="0.25">
      <c r="A15" s="209"/>
      <c r="C15" s="114" t="s">
        <v>364</v>
      </c>
      <c r="D15" s="82"/>
      <c r="O15" s="210"/>
      <c r="P15" s="210"/>
      <c r="Q15" s="210"/>
      <c r="R15" s="210"/>
    </row>
    <row r="16" spans="1:18" x14ac:dyDescent="0.25">
      <c r="A16" s="209"/>
      <c r="C16" s="115" t="s">
        <v>267</v>
      </c>
      <c r="D16" s="82"/>
      <c r="O16" s="210"/>
      <c r="P16" s="210"/>
      <c r="Q16" s="210"/>
      <c r="R16" s="210"/>
    </row>
    <row r="17" spans="1:19" x14ac:dyDescent="0.25">
      <c r="A17" s="209"/>
      <c r="C17" s="116" t="s">
        <v>269</v>
      </c>
      <c r="D17" s="82">
        <v>18</v>
      </c>
      <c r="O17" s="210"/>
      <c r="P17" s="210"/>
      <c r="Q17" s="210"/>
      <c r="R17" s="210"/>
    </row>
    <row r="18" spans="1:19" x14ac:dyDescent="0.25">
      <c r="A18" s="209"/>
      <c r="C18" s="116" t="s">
        <v>233</v>
      </c>
      <c r="D18" s="82">
        <v>2500</v>
      </c>
      <c r="O18" s="210"/>
      <c r="P18" s="210"/>
      <c r="Q18" s="210"/>
      <c r="R18" s="210"/>
    </row>
    <row r="19" spans="1:19" x14ac:dyDescent="0.25">
      <c r="A19" s="209"/>
      <c r="C19" s="102" t="s">
        <v>54</v>
      </c>
      <c r="D19" s="117">
        <v>200000</v>
      </c>
      <c r="O19" s="210"/>
      <c r="P19" s="210"/>
      <c r="Q19" s="210"/>
      <c r="R19" s="210"/>
    </row>
    <row r="20" spans="1:19" x14ac:dyDescent="0.25">
      <c r="A20" s="209"/>
      <c r="C20" s="116" t="s">
        <v>268</v>
      </c>
      <c r="D20" s="99">
        <f>PI()*D17^2/4*D19/D18</f>
        <v>20357.520395261861</v>
      </c>
      <c r="O20" s="210"/>
      <c r="P20" s="210"/>
      <c r="Q20" s="210"/>
      <c r="R20" s="210"/>
    </row>
    <row r="21" spans="1:19" ht="16.5" thickBot="1" x14ac:dyDescent="0.3">
      <c r="A21" s="209"/>
      <c r="C21" s="102" t="s">
        <v>318</v>
      </c>
      <c r="D21" s="82">
        <v>3</v>
      </c>
      <c r="O21" s="210"/>
      <c r="P21" s="210"/>
      <c r="Q21" s="210"/>
      <c r="R21" s="210"/>
    </row>
    <row r="22" spans="1:19" ht="16.5" thickBot="1" x14ac:dyDescent="0.3">
      <c r="A22" s="391" t="s">
        <v>369</v>
      </c>
      <c r="B22" s="392"/>
      <c r="C22" s="392"/>
      <c r="D22" s="392"/>
      <c r="E22" s="392"/>
      <c r="F22" s="392"/>
      <c r="G22" s="392"/>
      <c r="H22" s="392"/>
      <c r="I22" s="392"/>
      <c r="J22" s="392"/>
      <c r="K22" s="392"/>
      <c r="L22" s="392"/>
      <c r="M22" s="393"/>
      <c r="O22" s="210"/>
      <c r="P22" s="210"/>
      <c r="Q22" s="210"/>
      <c r="R22" s="210"/>
    </row>
    <row r="23" spans="1:19" ht="31.5" x14ac:dyDescent="0.25">
      <c r="A23" s="276" t="s">
        <v>370</v>
      </c>
      <c r="B23" s="107"/>
      <c r="C23" s="217" t="s">
        <v>265</v>
      </c>
      <c r="O23" s="210"/>
      <c r="P23" s="210"/>
      <c r="Q23" s="210"/>
      <c r="R23" s="210"/>
    </row>
    <row r="24" spans="1:19" x14ac:dyDescent="0.25">
      <c r="A24" s="102" t="s">
        <v>3</v>
      </c>
      <c r="B24" s="107"/>
      <c r="C24" s="155"/>
      <c r="O24" s="210"/>
      <c r="P24" s="210"/>
      <c r="Q24" s="210"/>
      <c r="R24" s="210"/>
    </row>
    <row r="25" spans="1:19" x14ac:dyDescent="0.25">
      <c r="A25" s="218" t="s">
        <v>117</v>
      </c>
      <c r="B25" s="153">
        <f>SUM(H35:S35)+C25</f>
        <v>6785.8401317539538</v>
      </c>
      <c r="C25" s="237">
        <f>D20/D21</f>
        <v>6785.8401317539538</v>
      </c>
      <c r="O25" s="210"/>
      <c r="P25" s="210"/>
      <c r="Q25" s="210"/>
      <c r="R25" s="210"/>
    </row>
    <row r="26" spans="1:19" x14ac:dyDescent="0.25">
      <c r="A26" s="218" t="s">
        <v>118</v>
      </c>
      <c r="B26" s="153">
        <f>SUM(H36:S36)+C26</f>
        <v>2588000</v>
      </c>
      <c r="C26" s="219">
        <v>0</v>
      </c>
      <c r="G26" s="243" t="s">
        <v>184</v>
      </c>
      <c r="O26" s="210"/>
      <c r="P26" s="210"/>
      <c r="Q26" s="210"/>
      <c r="R26" s="210"/>
    </row>
    <row r="27" spans="1:19" x14ac:dyDescent="0.25">
      <c r="A27" s="218" t="s">
        <v>119</v>
      </c>
      <c r="B27" s="153">
        <f>SUM(H37:S37)+C27</f>
        <v>2588000</v>
      </c>
      <c r="C27" s="219">
        <v>0</v>
      </c>
      <c r="G27" s="82" t="s">
        <v>124</v>
      </c>
      <c r="O27" s="210"/>
      <c r="P27" s="210"/>
      <c r="Q27" s="210"/>
      <c r="R27" s="210"/>
    </row>
    <row r="28" spans="1:19" x14ac:dyDescent="0.25">
      <c r="A28" s="102" t="s">
        <v>115</v>
      </c>
      <c r="B28" s="107"/>
      <c r="C28" s="200"/>
      <c r="D28" s="88"/>
      <c r="E28" s="88"/>
      <c r="F28" s="88"/>
      <c r="G28" s="213" t="s">
        <v>133</v>
      </c>
      <c r="H28" s="214">
        <v>4</v>
      </c>
      <c r="O28" s="210"/>
      <c r="P28" s="210"/>
      <c r="Q28" s="210"/>
      <c r="R28" s="210"/>
    </row>
    <row r="29" spans="1:19" x14ac:dyDescent="0.25">
      <c r="A29" s="218" t="s">
        <v>8</v>
      </c>
      <c r="B29" s="153">
        <f>SUM(H39:S39)+SUM(H43:S43)+C29</f>
        <v>6874375000</v>
      </c>
      <c r="C29" s="219">
        <v>0</v>
      </c>
      <c r="D29" s="88"/>
      <c r="E29" s="88"/>
      <c r="F29" s="88"/>
      <c r="H29" s="365" t="s">
        <v>129</v>
      </c>
      <c r="I29" s="365"/>
      <c r="J29" s="365"/>
      <c r="K29" s="365"/>
      <c r="L29" s="365"/>
      <c r="M29" s="365"/>
      <c r="N29" s="365"/>
      <c r="O29" s="365"/>
      <c r="P29" s="365"/>
      <c r="Q29" s="365"/>
      <c r="R29" s="365"/>
      <c r="S29" s="365"/>
    </row>
    <row r="30" spans="1:19" x14ac:dyDescent="0.25">
      <c r="A30" s="218" t="s">
        <v>120</v>
      </c>
      <c r="B30" s="153">
        <f>SUM(H40:S40)+SUM(H44:S44)+C30</f>
        <v>6604791666.666667</v>
      </c>
      <c r="C30" s="219">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8" t="s">
        <v>116</v>
      </c>
      <c r="B31" s="153">
        <f>SUM(H41:S41)+SUM(H45:S45)+C31</f>
        <v>6604791666.666667</v>
      </c>
      <c r="C31" s="219">
        <v>0</v>
      </c>
      <c r="D31" s="88"/>
      <c r="E31" s="88"/>
      <c r="F31" s="88"/>
      <c r="G31" s="102" t="s">
        <v>42</v>
      </c>
      <c r="H31" s="214">
        <v>50</v>
      </c>
      <c r="I31" s="214">
        <v>-50</v>
      </c>
      <c r="J31" s="214">
        <v>-50</v>
      </c>
      <c r="K31" s="214">
        <v>50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43</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D33" s="88"/>
      <c r="E33" s="88"/>
      <c r="F33" s="88"/>
      <c r="G33" s="102" t="s">
        <v>44</v>
      </c>
      <c r="H33" s="214">
        <v>50</v>
      </c>
      <c r="I33" s="214">
        <v>50</v>
      </c>
      <c r="J33" s="214">
        <v>-50</v>
      </c>
      <c r="K33" s="214">
        <v>-50</v>
      </c>
      <c r="L33" s="214">
        <v>0</v>
      </c>
      <c r="M33" s="214">
        <v>0</v>
      </c>
      <c r="N33" s="214">
        <v>0</v>
      </c>
      <c r="O33" s="214">
        <v>0</v>
      </c>
      <c r="P33" s="214">
        <v>0</v>
      </c>
      <c r="Q33" s="214">
        <v>0</v>
      </c>
      <c r="R33" s="214">
        <v>0</v>
      </c>
      <c r="S33" s="214">
        <v>0</v>
      </c>
    </row>
    <row r="34" spans="1:19" x14ac:dyDescent="0.25">
      <c r="A34" s="366"/>
      <c r="B34" s="366"/>
      <c r="C34" s="366"/>
      <c r="G34" s="82" t="s">
        <v>130</v>
      </c>
      <c r="H34" s="367"/>
      <c r="I34" s="367"/>
      <c r="J34" s="367"/>
      <c r="K34" s="367"/>
    </row>
    <row r="35" spans="1:19" x14ac:dyDescent="0.25">
      <c r="A35" s="221" t="s">
        <v>185</v>
      </c>
      <c r="B35" s="214"/>
      <c r="C35" s="214"/>
      <c r="D35" s="88"/>
      <c r="E35" s="88"/>
      <c r="F35" s="88"/>
      <c r="G35" s="102" t="s">
        <v>117</v>
      </c>
      <c r="H35" s="142">
        <v>0</v>
      </c>
      <c r="I35" s="142">
        <v>0</v>
      </c>
      <c r="J35" s="142">
        <v>0</v>
      </c>
      <c r="K35" s="142">
        <v>0</v>
      </c>
      <c r="L35" s="214">
        <v>0</v>
      </c>
      <c r="M35" s="214">
        <v>0</v>
      </c>
      <c r="N35" s="214">
        <v>0</v>
      </c>
      <c r="O35" s="214">
        <v>0</v>
      </c>
      <c r="P35" s="214">
        <v>0</v>
      </c>
      <c r="Q35" s="214">
        <v>0</v>
      </c>
      <c r="R35" s="214">
        <v>0</v>
      </c>
      <c r="S35" s="214">
        <v>0</v>
      </c>
    </row>
    <row r="36" spans="1:19" x14ac:dyDescent="0.25">
      <c r="A36" s="81" t="s">
        <v>109</v>
      </c>
      <c r="D36" s="88"/>
      <c r="E36" s="88"/>
      <c r="F36" s="88"/>
      <c r="G36" s="102" t="s">
        <v>118</v>
      </c>
      <c r="H36" s="142">
        <f>'ref bearings, servo, structure'!B5</f>
        <v>647000</v>
      </c>
      <c r="I36" s="142">
        <f>H36</f>
        <v>647000</v>
      </c>
      <c r="J36" s="142">
        <f t="shared" ref="J36:K36" si="1">I36</f>
        <v>647000</v>
      </c>
      <c r="K36" s="142">
        <f t="shared" si="1"/>
        <v>647000</v>
      </c>
      <c r="L36" s="214">
        <v>0</v>
      </c>
      <c r="M36" s="214">
        <v>0</v>
      </c>
      <c r="N36" s="214">
        <v>0</v>
      </c>
      <c r="O36" s="214">
        <v>0</v>
      </c>
      <c r="P36" s="214">
        <v>0</v>
      </c>
      <c r="Q36" s="214">
        <v>0</v>
      </c>
      <c r="R36" s="214">
        <v>0</v>
      </c>
      <c r="S36" s="214">
        <v>0</v>
      </c>
    </row>
    <row r="37" spans="1:19" x14ac:dyDescent="0.25">
      <c r="A37" s="102" t="s">
        <v>186</v>
      </c>
      <c r="B37" s="214">
        <v>0</v>
      </c>
      <c r="D37" s="88"/>
      <c r="E37" s="88"/>
      <c r="F37" s="88"/>
      <c r="G37" s="102" t="s">
        <v>119</v>
      </c>
      <c r="H37" s="142">
        <f>H36</f>
        <v>647000</v>
      </c>
      <c r="I37" s="142">
        <f t="shared" ref="I37:K37" si="2">I36</f>
        <v>647000</v>
      </c>
      <c r="J37" s="142">
        <f t="shared" si="2"/>
        <v>647000</v>
      </c>
      <c r="K37" s="142">
        <f t="shared" si="2"/>
        <v>647000</v>
      </c>
      <c r="L37" s="214">
        <v>0</v>
      </c>
      <c r="M37" s="214">
        <v>0</v>
      </c>
      <c r="N37" s="214">
        <v>0</v>
      </c>
      <c r="O37" s="214">
        <v>0</v>
      </c>
      <c r="P37" s="214">
        <v>0</v>
      </c>
      <c r="Q37" s="214">
        <v>0</v>
      </c>
      <c r="R37" s="214">
        <v>0</v>
      </c>
      <c r="S37" s="214">
        <v>0</v>
      </c>
    </row>
    <row r="38" spans="1:19" x14ac:dyDescent="0.25">
      <c r="A38" s="102" t="s">
        <v>187</v>
      </c>
      <c r="B38" s="214">
        <v>0</v>
      </c>
      <c r="D38" s="88"/>
      <c r="E38" s="88"/>
      <c r="F38" s="88"/>
      <c r="G38" s="82" t="s">
        <v>131</v>
      </c>
      <c r="H38" s="367"/>
      <c r="I38" s="367"/>
      <c r="J38" s="367"/>
      <c r="K38" s="367"/>
    </row>
    <row r="39" spans="1:19" x14ac:dyDescent="0.25">
      <c r="A39" s="102" t="s">
        <v>188</v>
      </c>
      <c r="B39" s="214">
        <v>0</v>
      </c>
      <c r="D39" s="88"/>
      <c r="E39" s="88"/>
      <c r="F39" s="88"/>
      <c r="G39" s="102" t="s">
        <v>8</v>
      </c>
      <c r="H39" s="142">
        <f>'ref bearings, servo, structure'!B10</f>
        <v>101093750</v>
      </c>
      <c r="I39" s="142">
        <f>H39</f>
        <v>101093750</v>
      </c>
      <c r="J39" s="142">
        <f t="shared" ref="J39:K39" si="3">I39</f>
        <v>101093750</v>
      </c>
      <c r="K39" s="142">
        <f t="shared" si="3"/>
        <v>101093750</v>
      </c>
      <c r="L39" s="214">
        <v>0</v>
      </c>
      <c r="M39" s="214">
        <v>0</v>
      </c>
      <c r="N39" s="214">
        <v>0</v>
      </c>
      <c r="O39" s="214">
        <v>0</v>
      </c>
      <c r="P39" s="214">
        <v>0</v>
      </c>
      <c r="Q39" s="214">
        <v>0</v>
      </c>
      <c r="R39" s="214">
        <v>0</v>
      </c>
      <c r="S39" s="214">
        <v>0</v>
      </c>
    </row>
    <row r="40" spans="1:19" x14ac:dyDescent="0.25">
      <c r="A40" s="150" t="s">
        <v>110</v>
      </c>
      <c r="D40" s="88"/>
      <c r="E40" s="88"/>
      <c r="F40" s="88"/>
      <c r="G40" s="102" t="s">
        <v>120</v>
      </c>
      <c r="H40" s="142">
        <f>'ref bearings, servo, structure'!B12</f>
        <v>33697916.666666664</v>
      </c>
      <c r="I40" s="142">
        <f t="shared" ref="I40:K41" si="4">H40</f>
        <v>33697916.666666664</v>
      </c>
      <c r="J40" s="142">
        <f t="shared" si="4"/>
        <v>33697916.666666664</v>
      </c>
      <c r="K40" s="142">
        <f t="shared" si="4"/>
        <v>33697916.666666664</v>
      </c>
      <c r="L40" s="214">
        <v>0</v>
      </c>
      <c r="M40" s="214">
        <v>0</v>
      </c>
      <c r="N40" s="214">
        <v>0</v>
      </c>
      <c r="O40" s="214">
        <v>0</v>
      </c>
      <c r="P40" s="214">
        <v>0</v>
      </c>
      <c r="Q40" s="214">
        <v>0</v>
      </c>
      <c r="R40" s="214">
        <v>0</v>
      </c>
      <c r="S40" s="214">
        <v>0</v>
      </c>
    </row>
    <row r="41" spans="1:19" x14ac:dyDescent="0.25">
      <c r="A41" s="102" t="s">
        <v>186</v>
      </c>
      <c r="B41" s="214">
        <v>0</v>
      </c>
      <c r="G41" s="102" t="s">
        <v>116</v>
      </c>
      <c r="H41" s="142">
        <f>'ref bearings, servo, structure'!B11</f>
        <v>33697916.666666664</v>
      </c>
      <c r="I41" s="142">
        <f t="shared" si="4"/>
        <v>33697916.666666664</v>
      </c>
      <c r="J41" s="142">
        <f t="shared" si="4"/>
        <v>33697916.666666664</v>
      </c>
      <c r="K41" s="142">
        <f t="shared" si="4"/>
        <v>33697916.666666664</v>
      </c>
      <c r="L41" s="214">
        <v>0</v>
      </c>
      <c r="M41" s="214">
        <v>0</v>
      </c>
      <c r="N41" s="214">
        <v>0</v>
      </c>
      <c r="O41" s="214">
        <v>0</v>
      </c>
      <c r="P41" s="214">
        <v>0</v>
      </c>
      <c r="Q41" s="214">
        <v>0</v>
      </c>
      <c r="R41" s="214">
        <v>0</v>
      </c>
      <c r="S41" s="214">
        <v>0</v>
      </c>
    </row>
    <row r="42" spans="1:19" x14ac:dyDescent="0.25">
      <c r="A42" s="102" t="s">
        <v>187</v>
      </c>
      <c r="B42" s="214">
        <v>0</v>
      </c>
      <c r="D42" s="217"/>
      <c r="E42" s="217"/>
      <c r="F42" s="217"/>
      <c r="G42" s="82" t="s">
        <v>125</v>
      </c>
    </row>
    <row r="43" spans="1:19" x14ac:dyDescent="0.25">
      <c r="A43" s="102" t="s">
        <v>188</v>
      </c>
      <c r="B43" s="214">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5" t="s">
        <v>206</v>
      </c>
      <c r="D44" s="219"/>
      <c r="E44" s="219"/>
      <c r="F44" s="219"/>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9"/>
      <c r="E45" s="219"/>
      <c r="F45" s="219"/>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8"/>
      <c r="D46" s="219"/>
      <c r="E46" s="219"/>
      <c r="F46" s="219"/>
      <c r="G46" s="82" t="s">
        <v>307</v>
      </c>
    </row>
    <row r="47" spans="1:19" x14ac:dyDescent="0.25">
      <c r="A47" s="102" t="s">
        <v>123</v>
      </c>
      <c r="B47" s="105">
        <f t="shared" si="8"/>
        <v>5.0000000000000001E-3</v>
      </c>
      <c r="C47" s="88"/>
      <c r="D47" s="200"/>
      <c r="E47" s="200"/>
      <c r="F47" s="200"/>
      <c r="G47" s="102" t="s">
        <v>121</v>
      </c>
      <c r="H47" s="214">
        <f t="shared" ref="H47:K49" si="9">0.005</f>
        <v>5.0000000000000001E-3</v>
      </c>
      <c r="I47" s="214">
        <f t="shared" si="9"/>
        <v>5.0000000000000001E-3</v>
      </c>
      <c r="J47" s="214">
        <f t="shared" si="9"/>
        <v>5.0000000000000001E-3</v>
      </c>
      <c r="K47" s="214">
        <f t="shared" si="9"/>
        <v>5.0000000000000001E-3</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1.0000000000000007E-4</v>
      </c>
      <c r="C48" s="88"/>
      <c r="D48" s="219"/>
      <c r="E48" s="219"/>
      <c r="F48" s="219"/>
      <c r="G48" s="102" t="s">
        <v>122</v>
      </c>
      <c r="H48" s="214">
        <f t="shared" si="9"/>
        <v>5.0000000000000001E-3</v>
      </c>
      <c r="I48" s="214">
        <f t="shared" si="9"/>
        <v>5.0000000000000001E-3</v>
      </c>
      <c r="J48" s="214">
        <f t="shared" si="9"/>
        <v>5.0000000000000001E-3</v>
      </c>
      <c r="K48" s="214">
        <f t="shared" si="9"/>
        <v>5.0000000000000001E-3</v>
      </c>
      <c r="L48" s="214">
        <v>0</v>
      </c>
      <c r="M48" s="214">
        <v>0</v>
      </c>
      <c r="N48" s="214">
        <v>0</v>
      </c>
      <c r="O48" s="214">
        <v>0</v>
      </c>
      <c r="P48" s="214">
        <v>0</v>
      </c>
      <c r="Q48" s="214">
        <v>0</v>
      </c>
      <c r="R48" s="214">
        <v>0</v>
      </c>
      <c r="S48" s="214">
        <v>0</v>
      </c>
    </row>
    <row r="49" spans="1:20" x14ac:dyDescent="0.25">
      <c r="A49" s="102" t="s">
        <v>86</v>
      </c>
      <c r="B49" s="105">
        <f>SQRT((H52^2+I52^2+J52^2+K52^2+L52^2+M52^2+N52^2+O52^2+P52^2+Q52^2+R52^2+S52^2+B38^2)/H$28)</f>
        <v>9.9999999000000077E-5</v>
      </c>
      <c r="C49" s="88"/>
      <c r="D49" s="219"/>
      <c r="E49" s="219"/>
      <c r="F49" s="219"/>
      <c r="G49" s="102" t="s">
        <v>123</v>
      </c>
      <c r="H49" s="214">
        <f t="shared" si="9"/>
        <v>5.0000000000000001E-3</v>
      </c>
      <c r="I49" s="214">
        <f t="shared" si="9"/>
        <v>5.0000000000000001E-3</v>
      </c>
      <c r="J49" s="214">
        <f t="shared" si="9"/>
        <v>5.0000000000000001E-3</v>
      </c>
      <c r="K49" s="214">
        <f t="shared" si="9"/>
        <v>5.0000000000000001E-3</v>
      </c>
      <c r="L49" s="214">
        <v>0</v>
      </c>
      <c r="M49" s="214">
        <v>0</v>
      </c>
      <c r="N49" s="214">
        <v>0</v>
      </c>
      <c r="O49" s="214">
        <v>0</v>
      </c>
      <c r="P49" s="214">
        <v>0</v>
      </c>
      <c r="Q49" s="214">
        <v>0</v>
      </c>
      <c r="R49" s="214">
        <v>0</v>
      </c>
      <c r="S49" s="214">
        <v>0</v>
      </c>
    </row>
    <row r="50" spans="1:20" x14ac:dyDescent="0.25">
      <c r="A50" s="102" t="s">
        <v>87</v>
      </c>
      <c r="B50" s="105">
        <f>SQRT((H53^2+I53^2+J53^2+K53^2+L53^2+M53^2+N53^2+O53^2+P53^2+Q53^2+R53^2+S53^2+B39^2)/H$28)</f>
        <v>1.0000000000000007E-4</v>
      </c>
      <c r="C50" s="88"/>
      <c r="D50" s="219"/>
      <c r="E50" s="219"/>
      <c r="F50" s="219"/>
      <c r="G50" s="82" t="s">
        <v>251</v>
      </c>
    </row>
    <row r="51" spans="1:20" ht="47.25" x14ac:dyDescent="0.25">
      <c r="A51" s="216" t="s">
        <v>207</v>
      </c>
      <c r="B51" s="107"/>
      <c r="D51" s="220"/>
      <c r="E51" s="220"/>
      <c r="F51" s="220"/>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x14ac:dyDescent="0.25">
      <c r="A52" s="102" t="s">
        <v>121</v>
      </c>
      <c r="B52" s="105">
        <f>SQRT((H55^2+I55^2+J55^2+K55^2+L55^2+M55^2+N55^2+O55^2+P55^2+Q55^2+R55^2+S55^2)/H$28)</f>
        <v>0</v>
      </c>
      <c r="C52" s="88"/>
      <c r="D52" s="220"/>
      <c r="E52" s="220"/>
      <c r="F52" s="220"/>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x14ac:dyDescent="0.25">
      <c r="A53" s="102" t="s">
        <v>122</v>
      </c>
      <c r="B53" s="105">
        <f t="shared" ref="B53:B54" si="12">SQRT((H56^2+I56^2+J56^2+K56^2+L56^2+M56^2+N56^2+O56^2+P56^2+Q56^2+R56^2+S56^2)/H$28)</f>
        <v>0</v>
      </c>
      <c r="C53" s="88"/>
      <c r="D53" s="220"/>
      <c r="E53" s="220"/>
      <c r="F53" s="220"/>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x14ac:dyDescent="0.25">
      <c r="A54" s="102" t="s">
        <v>123</v>
      </c>
      <c r="B54" s="105">
        <f t="shared" si="12"/>
        <v>0</v>
      </c>
      <c r="C54" s="88"/>
      <c r="D54" s="214"/>
      <c r="E54" s="214"/>
      <c r="F54" s="214"/>
      <c r="G54" s="82" t="s">
        <v>330</v>
      </c>
    </row>
    <row r="55" spans="1:20" x14ac:dyDescent="0.25">
      <c r="A55" s="102" t="s">
        <v>85</v>
      </c>
      <c r="B55" s="105">
        <f>SQRT((H59^2+I59^2+J59^2+K59^2+L59^2+M59^2+N59^2+O59^2+P59^2+Q59^2+R59^2+S59^2+B41^2)/H$28)</f>
        <v>0</v>
      </c>
      <c r="C55" s="88"/>
      <c r="G55" s="102" t="s">
        <v>121</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SQRT((H60^2+I60^2+J60^2+K60^2+L60^2+M60^2+N60^2+O60^2+P60^2+Q60^2+R60^2+S60^2+B42^2)/H$28)</f>
        <v>0</v>
      </c>
      <c r="C56" s="88"/>
      <c r="G56" s="102" t="s">
        <v>122</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SQRT((H61^2+I61^2+J61^2+K61^2+L61^2+M61^2+N61^2+O61^2+P61^2+Q61^2+R61^2+S61^2+B43^2)/H$28)</f>
        <v>0</v>
      </c>
      <c r="C57" s="88"/>
      <c r="G57" s="102" t="s">
        <v>123</v>
      </c>
      <c r="H57" s="214">
        <v>0</v>
      </c>
      <c r="I57" s="214">
        <v>0</v>
      </c>
      <c r="J57" s="214">
        <v>0</v>
      </c>
      <c r="K57" s="214">
        <v>0</v>
      </c>
      <c r="L57" s="214">
        <v>0</v>
      </c>
      <c r="M57" s="214">
        <v>0</v>
      </c>
      <c r="N57" s="214">
        <v>0</v>
      </c>
      <c r="O57" s="214">
        <v>0</v>
      </c>
      <c r="P57" s="214">
        <v>0</v>
      </c>
      <c r="Q57" s="214">
        <v>0</v>
      </c>
      <c r="R57" s="214">
        <v>0</v>
      </c>
      <c r="S57" s="214">
        <v>0</v>
      </c>
    </row>
    <row r="58" spans="1:20" x14ac:dyDescent="0.25">
      <c r="B58" s="107"/>
      <c r="G58" s="82" t="s">
        <v>252</v>
      </c>
    </row>
    <row r="59" spans="1:20" x14ac:dyDescent="0.25">
      <c r="G59" s="102" t="s">
        <v>85</v>
      </c>
      <c r="H59" s="222">
        <f>H113</f>
        <v>0</v>
      </c>
      <c r="I59" s="222">
        <f t="shared" ref="I59:S59" si="14">I113</f>
        <v>0</v>
      </c>
      <c r="J59" s="222">
        <f t="shared" si="14"/>
        <v>0</v>
      </c>
      <c r="K59" s="222">
        <f t="shared" si="14"/>
        <v>0</v>
      </c>
      <c r="L59" s="222">
        <f t="shared" si="14"/>
        <v>0</v>
      </c>
      <c r="M59" s="222">
        <f t="shared" si="14"/>
        <v>0</v>
      </c>
      <c r="N59" s="222">
        <f t="shared" si="14"/>
        <v>0</v>
      </c>
      <c r="O59" s="222">
        <f t="shared" si="14"/>
        <v>0</v>
      </c>
      <c r="P59" s="222">
        <f t="shared" si="14"/>
        <v>0</v>
      </c>
      <c r="Q59" s="222">
        <f t="shared" si="14"/>
        <v>0</v>
      </c>
      <c r="R59" s="222">
        <f t="shared" si="14"/>
        <v>0</v>
      </c>
      <c r="S59" s="222">
        <f t="shared" si="14"/>
        <v>0</v>
      </c>
    </row>
    <row r="60" spans="1:20" x14ac:dyDescent="0.25">
      <c r="G60" s="102" t="s">
        <v>86</v>
      </c>
      <c r="H60" s="222">
        <f>H118</f>
        <v>0</v>
      </c>
      <c r="I60" s="222">
        <f t="shared" ref="I60:S60" si="15">I118</f>
        <v>0</v>
      </c>
      <c r="J60" s="222">
        <f t="shared" si="15"/>
        <v>0</v>
      </c>
      <c r="K60" s="222">
        <f t="shared" si="15"/>
        <v>0</v>
      </c>
      <c r="L60" s="222">
        <f t="shared" si="15"/>
        <v>0</v>
      </c>
      <c r="M60" s="222">
        <f t="shared" si="15"/>
        <v>0</v>
      </c>
      <c r="N60" s="222">
        <f t="shared" si="15"/>
        <v>0</v>
      </c>
      <c r="O60" s="222">
        <f t="shared" si="15"/>
        <v>0</v>
      </c>
      <c r="P60" s="222">
        <f t="shared" si="15"/>
        <v>0</v>
      </c>
      <c r="Q60" s="222">
        <f t="shared" si="15"/>
        <v>0</v>
      </c>
      <c r="R60" s="222">
        <f t="shared" si="15"/>
        <v>0</v>
      </c>
      <c r="S60" s="222">
        <f t="shared" si="15"/>
        <v>0</v>
      </c>
    </row>
    <row r="61" spans="1:20" x14ac:dyDescent="0.25">
      <c r="G61" s="102" t="s">
        <v>87</v>
      </c>
      <c r="H61" s="222">
        <f>H123</f>
        <v>0</v>
      </c>
      <c r="I61" s="222">
        <f t="shared" ref="I61:S61" si="16">I123</f>
        <v>0</v>
      </c>
      <c r="J61" s="222">
        <f t="shared" si="16"/>
        <v>0</v>
      </c>
      <c r="K61" s="222">
        <f t="shared" si="16"/>
        <v>0</v>
      </c>
      <c r="L61" s="222">
        <f t="shared" si="16"/>
        <v>0</v>
      </c>
      <c r="M61" s="222">
        <f t="shared" si="16"/>
        <v>0</v>
      </c>
      <c r="N61" s="222">
        <f t="shared" si="16"/>
        <v>0</v>
      </c>
      <c r="O61" s="222">
        <f t="shared" si="16"/>
        <v>0</v>
      </c>
      <c r="P61" s="222">
        <f t="shared" si="16"/>
        <v>0</v>
      </c>
      <c r="Q61" s="222">
        <f t="shared" si="16"/>
        <v>0</v>
      </c>
      <c r="R61" s="222">
        <f t="shared" si="16"/>
        <v>0</v>
      </c>
      <c r="S61" s="222">
        <f t="shared" si="16"/>
        <v>0</v>
      </c>
    </row>
    <row r="62" spans="1:20" x14ac:dyDescent="0.25">
      <c r="G62" s="215"/>
    </row>
    <row r="63" spans="1:20" x14ac:dyDescent="0.25">
      <c r="I63" s="118"/>
      <c r="J63" s="118"/>
      <c r="K63" s="118"/>
      <c r="L63" s="118"/>
      <c r="M63" s="118"/>
      <c r="N63" s="118"/>
    </row>
    <row r="64" spans="1:20" x14ac:dyDescent="0.25">
      <c r="G64" s="119"/>
      <c r="H64" s="353"/>
      <c r="I64" s="223"/>
      <c r="J64" s="223"/>
      <c r="K64" s="223"/>
      <c r="L64" s="223"/>
      <c r="M64" s="223"/>
      <c r="N64" s="223"/>
      <c r="O64" s="118"/>
    </row>
    <row r="65" spans="1:15" x14ac:dyDescent="0.25">
      <c r="G65" s="119"/>
      <c r="H65" s="353"/>
      <c r="I65" s="223"/>
      <c r="J65" s="223"/>
      <c r="K65" s="223"/>
      <c r="L65" s="223"/>
      <c r="M65" s="223"/>
      <c r="N65" s="223"/>
      <c r="O65" s="118"/>
    </row>
    <row r="66" spans="1:15" x14ac:dyDescent="0.25">
      <c r="G66" s="119"/>
      <c r="H66" s="353"/>
      <c r="I66" s="223"/>
      <c r="J66" s="223"/>
      <c r="K66" s="223"/>
      <c r="L66" s="223"/>
      <c r="M66" s="223"/>
      <c r="N66" s="223"/>
      <c r="O66" s="118"/>
    </row>
    <row r="67" spans="1:15" x14ac:dyDescent="0.25">
      <c r="G67" s="119"/>
      <c r="H67" s="353"/>
      <c r="I67" s="223"/>
      <c r="J67" s="223"/>
      <c r="K67" s="223"/>
      <c r="L67" s="223"/>
      <c r="M67" s="223"/>
      <c r="N67" s="223"/>
      <c r="O67" s="118"/>
    </row>
    <row r="68" spans="1:15" x14ac:dyDescent="0.25">
      <c r="G68" s="119"/>
      <c r="H68" s="353"/>
      <c r="I68" s="223"/>
      <c r="J68" s="223"/>
      <c r="K68" s="223"/>
      <c r="L68" s="223"/>
      <c r="M68" s="223"/>
      <c r="N68" s="223"/>
      <c r="O68" s="118"/>
    </row>
    <row r="69" spans="1:15" x14ac:dyDescent="0.25">
      <c r="G69" s="119"/>
      <c r="H69" s="353"/>
      <c r="I69" s="223"/>
      <c r="J69" s="223"/>
      <c r="K69" s="223"/>
      <c r="L69" s="223"/>
      <c r="M69" s="223"/>
      <c r="N69" s="223"/>
      <c r="O69" s="118"/>
    </row>
    <row r="70" spans="1:15" x14ac:dyDescent="0.25">
      <c r="G70" s="119"/>
      <c r="H70" s="197"/>
      <c r="I70" s="223"/>
      <c r="J70" s="223"/>
      <c r="K70" s="223"/>
      <c r="L70" s="223"/>
      <c r="M70" s="223"/>
      <c r="N70" s="223"/>
      <c r="O70" s="118"/>
    </row>
    <row r="71" spans="1:15" x14ac:dyDescent="0.25">
      <c r="G71" s="119"/>
      <c r="H71" s="197"/>
      <c r="I71" s="223"/>
      <c r="J71" s="223"/>
      <c r="K71" s="223"/>
      <c r="L71" s="223"/>
      <c r="M71" s="223"/>
      <c r="N71" s="223"/>
      <c r="O71" s="118"/>
    </row>
    <row r="72" spans="1:15" x14ac:dyDescent="0.25">
      <c r="G72" s="119"/>
      <c r="H72" s="197"/>
      <c r="I72" s="223"/>
      <c r="J72" s="223"/>
      <c r="K72" s="223"/>
      <c r="L72" s="223"/>
      <c r="M72" s="223"/>
      <c r="N72" s="223"/>
      <c r="O72" s="118"/>
    </row>
    <row r="73" spans="1:15" x14ac:dyDescent="0.25">
      <c r="G73" s="119"/>
      <c r="H73" s="197"/>
      <c r="I73" s="223"/>
      <c r="J73" s="223"/>
      <c r="K73" s="223"/>
      <c r="L73" s="223"/>
      <c r="M73" s="223"/>
      <c r="N73" s="223"/>
      <c r="O73" s="118"/>
    </row>
    <row r="74" spans="1:15" x14ac:dyDescent="0.25">
      <c r="G74" s="119"/>
      <c r="H74" s="197"/>
      <c r="I74" s="223"/>
      <c r="J74" s="223"/>
      <c r="K74" s="223"/>
      <c r="L74" s="223"/>
      <c r="M74" s="223"/>
      <c r="N74" s="223"/>
      <c r="O74" s="118"/>
    </row>
    <row r="75" spans="1:15" x14ac:dyDescent="0.25">
      <c r="G75" s="119"/>
      <c r="H75" s="197"/>
      <c r="I75" s="223"/>
      <c r="J75" s="223"/>
      <c r="K75" s="223"/>
      <c r="L75" s="223"/>
      <c r="M75" s="223"/>
      <c r="N75" s="223"/>
      <c r="O75" s="118"/>
    </row>
    <row r="76" spans="1:15" x14ac:dyDescent="0.25">
      <c r="G76" s="119"/>
      <c r="H76" s="197"/>
      <c r="I76" s="223"/>
      <c r="J76" s="223"/>
      <c r="K76" s="223"/>
      <c r="L76" s="223"/>
      <c r="M76" s="223"/>
      <c r="N76" s="223"/>
      <c r="O76" s="118"/>
    </row>
    <row r="77" spans="1:15" x14ac:dyDescent="0.25">
      <c r="G77" s="119"/>
      <c r="H77" s="197"/>
      <c r="I77" s="223"/>
      <c r="J77" s="223"/>
      <c r="K77" s="223"/>
      <c r="L77" s="223"/>
      <c r="M77" s="223"/>
      <c r="N77" s="223"/>
      <c r="O77" s="118"/>
    </row>
    <row r="78" spans="1:15" x14ac:dyDescent="0.25">
      <c r="G78" s="119"/>
      <c r="H78" s="197"/>
      <c r="I78" s="223"/>
      <c r="J78" s="223"/>
      <c r="K78" s="223"/>
      <c r="L78" s="223"/>
      <c r="M78" s="223"/>
      <c r="N78" s="223"/>
      <c r="O78" s="118"/>
    </row>
    <row r="79" spans="1:15" x14ac:dyDescent="0.25">
      <c r="G79" s="119"/>
      <c r="H79" s="197"/>
      <c r="I79" s="223"/>
      <c r="J79" s="223"/>
      <c r="K79" s="223"/>
      <c r="L79" s="223"/>
      <c r="M79" s="223"/>
      <c r="N79" s="223"/>
      <c r="O79" s="118"/>
    </row>
    <row r="80" spans="1:15" x14ac:dyDescent="0.25">
      <c r="A80" s="102"/>
      <c r="B80" s="210"/>
      <c r="G80" s="119"/>
      <c r="H80" s="197"/>
      <c r="I80" s="223"/>
      <c r="J80" s="223"/>
      <c r="K80" s="223"/>
      <c r="L80" s="223"/>
      <c r="M80" s="223"/>
      <c r="N80" s="223"/>
      <c r="O80" s="118"/>
    </row>
    <row r="81" spans="1:19" x14ac:dyDescent="0.25">
      <c r="A81" s="102"/>
      <c r="B81" s="210"/>
      <c r="G81" s="119"/>
      <c r="H81" s="197"/>
      <c r="I81" s="223"/>
      <c r="J81" s="223"/>
      <c r="K81" s="223"/>
      <c r="L81" s="223"/>
      <c r="M81" s="223"/>
      <c r="N81" s="223"/>
      <c r="O81" s="118"/>
    </row>
    <row r="82" spans="1:19" x14ac:dyDescent="0.25">
      <c r="A82" s="102"/>
      <c r="B82" s="210"/>
      <c r="G82" s="119"/>
      <c r="H82" s="197"/>
      <c r="I82" s="223"/>
      <c r="J82" s="223"/>
      <c r="K82" s="223"/>
      <c r="L82" s="223"/>
      <c r="M82" s="223"/>
      <c r="N82" s="223"/>
      <c r="O82" s="118"/>
    </row>
    <row r="83" spans="1:19" x14ac:dyDescent="0.25">
      <c r="A83" s="102"/>
      <c r="B83" s="210"/>
      <c r="G83" s="119"/>
      <c r="H83" s="197"/>
      <c r="I83" s="223"/>
      <c r="J83" s="223"/>
      <c r="K83" s="223"/>
      <c r="L83" s="223"/>
      <c r="M83" s="223"/>
      <c r="N83" s="223"/>
      <c r="O83" s="118"/>
    </row>
    <row r="84" spans="1:19" x14ac:dyDescent="0.25">
      <c r="A84" s="102"/>
      <c r="B84" s="210"/>
      <c r="G84" s="119"/>
      <c r="H84" s="197"/>
      <c r="I84" s="223"/>
      <c r="J84" s="223"/>
      <c r="K84" s="223"/>
      <c r="L84" s="223"/>
      <c r="M84" s="223"/>
      <c r="N84" s="223"/>
      <c r="O84" s="118"/>
    </row>
    <row r="85" spans="1:19" x14ac:dyDescent="0.25">
      <c r="A85" s="102"/>
      <c r="B85" s="210"/>
      <c r="G85" s="119"/>
      <c r="H85" s="197"/>
      <c r="I85" s="223"/>
      <c r="J85" s="223"/>
      <c r="K85" s="223"/>
      <c r="L85" s="223"/>
      <c r="M85" s="223"/>
      <c r="N85" s="223"/>
      <c r="O85" s="118"/>
    </row>
    <row r="86" spans="1:19" x14ac:dyDescent="0.25">
      <c r="A86" s="102"/>
      <c r="B86" s="210"/>
      <c r="G86" s="119"/>
      <c r="H86" s="197"/>
      <c r="I86" s="223"/>
      <c r="J86" s="223"/>
      <c r="K86" s="223"/>
      <c r="L86" s="223"/>
      <c r="M86" s="223"/>
      <c r="N86" s="223"/>
      <c r="O86" s="118"/>
    </row>
    <row r="87" spans="1:19" x14ac:dyDescent="0.25">
      <c r="A87" s="102"/>
      <c r="B87" s="210"/>
      <c r="G87" s="119"/>
      <c r="H87" s="197"/>
      <c r="I87" s="223"/>
      <c r="J87" s="223"/>
      <c r="K87" s="223"/>
      <c r="L87" s="223"/>
      <c r="M87" s="223"/>
      <c r="N87" s="223"/>
      <c r="O87" s="118"/>
    </row>
    <row r="88" spans="1:19" x14ac:dyDescent="0.25">
      <c r="A88" s="102"/>
      <c r="B88" s="210"/>
      <c r="G88" s="119"/>
      <c r="H88" s="197"/>
      <c r="I88" s="223"/>
      <c r="J88" s="223"/>
      <c r="K88" s="223"/>
      <c r="L88" s="223"/>
      <c r="M88" s="223"/>
      <c r="N88" s="223"/>
      <c r="O88" s="118"/>
    </row>
    <row r="89" spans="1:19" x14ac:dyDescent="0.25">
      <c r="A89" s="102"/>
      <c r="B89" s="210"/>
      <c r="G89" s="119"/>
      <c r="H89" s="197"/>
      <c r="I89" s="223"/>
      <c r="J89" s="223"/>
      <c r="K89" s="223"/>
      <c r="L89" s="223"/>
      <c r="M89" s="223"/>
      <c r="N89" s="223"/>
      <c r="O89" s="118"/>
    </row>
    <row r="90" spans="1:19" x14ac:dyDescent="0.25">
      <c r="A90" s="102"/>
      <c r="B90" s="210"/>
      <c r="G90" s="119"/>
      <c r="H90" s="197"/>
      <c r="I90" s="223"/>
      <c r="J90" s="223"/>
      <c r="K90" s="223"/>
      <c r="L90" s="223"/>
      <c r="M90" s="223"/>
      <c r="N90" s="223"/>
      <c r="O90" s="118"/>
    </row>
    <row r="91" spans="1:19" x14ac:dyDescent="0.25">
      <c r="A91" s="102"/>
      <c r="B91" s="210"/>
    </row>
    <row r="92" spans="1:19" x14ac:dyDescent="0.25">
      <c r="A92" s="102"/>
      <c r="B92" s="210"/>
    </row>
    <row r="93" spans="1:19" x14ac:dyDescent="0.25">
      <c r="A93" s="102"/>
      <c r="B93" s="210"/>
    </row>
    <row r="94" spans="1:19" x14ac:dyDescent="0.25">
      <c r="A94" s="102"/>
      <c r="B94" s="210"/>
      <c r="G94" s="224" t="s">
        <v>259</v>
      </c>
    </row>
    <row r="95" spans="1:19" x14ac:dyDescent="0.25">
      <c r="A95" s="102"/>
      <c r="B95" s="210"/>
      <c r="G95" s="212"/>
      <c r="H95" s="150" t="s">
        <v>260</v>
      </c>
    </row>
    <row r="96" spans="1:19" x14ac:dyDescent="0.25">
      <c r="A96" s="102"/>
      <c r="B96" s="210"/>
      <c r="G96" s="150"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0"/>
      <c r="G97" s="150"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10"/>
      <c r="G98" s="81" t="s">
        <v>256</v>
      </c>
      <c r="H98" s="225">
        <f>IF(MIN(H96,H97)&gt;1,0,MIN(H96,H97))</f>
        <v>9.9999998000000053E-5</v>
      </c>
      <c r="I98" s="225">
        <f t="shared" ref="I98:S98" si="19">IF(MIN(I96,I97)&gt;1,0,MIN(I96,I97))</f>
        <v>9.9999998000000053E-5</v>
      </c>
      <c r="J98" s="225">
        <f t="shared" si="19"/>
        <v>1.0000000200000004E-4</v>
      </c>
      <c r="K98" s="225">
        <f t="shared" si="19"/>
        <v>1.0000000200000004E-4</v>
      </c>
      <c r="L98" s="225">
        <f t="shared" si="19"/>
        <v>0</v>
      </c>
      <c r="M98" s="225">
        <f t="shared" si="19"/>
        <v>0</v>
      </c>
      <c r="N98" s="225">
        <f t="shared" si="19"/>
        <v>0</v>
      </c>
      <c r="O98" s="225">
        <f t="shared" si="19"/>
        <v>0</v>
      </c>
      <c r="P98" s="225">
        <f t="shared" si="19"/>
        <v>0</v>
      </c>
      <c r="Q98" s="225">
        <f t="shared" si="19"/>
        <v>0</v>
      </c>
      <c r="R98" s="225">
        <f t="shared" si="19"/>
        <v>0</v>
      </c>
      <c r="S98" s="225">
        <f t="shared" si="19"/>
        <v>0</v>
      </c>
    </row>
    <row r="99" spans="1:19" x14ac:dyDescent="0.25">
      <c r="A99" s="102"/>
      <c r="B99" s="210"/>
      <c r="H99" s="150" t="s">
        <v>261</v>
      </c>
      <c r="I99" s="150"/>
      <c r="J99" s="150"/>
      <c r="K99" s="150"/>
      <c r="L99" s="150"/>
      <c r="M99" s="150"/>
      <c r="N99" s="150"/>
      <c r="O99" s="150"/>
      <c r="P99" s="150"/>
      <c r="Q99" s="150"/>
      <c r="R99" s="150"/>
      <c r="S99" s="150"/>
    </row>
    <row r="100" spans="1:19" x14ac:dyDescent="0.25">
      <c r="A100" s="102"/>
      <c r="B100" s="210"/>
      <c r="G100" s="115" t="s">
        <v>258</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x14ac:dyDescent="0.25">
      <c r="A101" s="102"/>
      <c r="B101" s="210"/>
      <c r="G101" s="115" t="s">
        <v>258</v>
      </c>
      <c r="H101" s="226">
        <f t="shared" ref="H101:S101" si="21">H47/ABS(H33+0.000001)</f>
        <v>9.9999998000000053E-5</v>
      </c>
      <c r="I101" s="226">
        <f t="shared" si="21"/>
        <v>9.9999998000000053E-5</v>
      </c>
      <c r="J101" s="226">
        <f t="shared" si="21"/>
        <v>1.0000000200000004E-4</v>
      </c>
      <c r="K101" s="226">
        <f t="shared" si="21"/>
        <v>1.0000000200000004E-4</v>
      </c>
      <c r="L101" s="226">
        <f t="shared" si="21"/>
        <v>0</v>
      </c>
      <c r="M101" s="226">
        <f t="shared" si="21"/>
        <v>0</v>
      </c>
      <c r="N101" s="226">
        <f t="shared" si="21"/>
        <v>0</v>
      </c>
      <c r="O101" s="226">
        <f t="shared" si="21"/>
        <v>0</v>
      </c>
      <c r="P101" s="226">
        <f t="shared" si="21"/>
        <v>0</v>
      </c>
      <c r="Q101" s="226">
        <f t="shared" si="21"/>
        <v>0</v>
      </c>
      <c r="R101" s="226">
        <f t="shared" si="21"/>
        <v>0</v>
      </c>
      <c r="S101" s="226">
        <f t="shared" si="21"/>
        <v>0</v>
      </c>
    </row>
    <row r="102" spans="1:19" x14ac:dyDescent="0.25">
      <c r="A102" s="102"/>
      <c r="B102" s="210"/>
      <c r="G102" s="81" t="s">
        <v>256</v>
      </c>
      <c r="H102" s="225">
        <f>IF(MIN(H100,H101)&gt;1,0,MIN(H100,H101))</f>
        <v>9.9999998000000053E-5</v>
      </c>
      <c r="I102" s="225">
        <f t="shared" ref="I102:S102" si="22">IF(MIN(I100,I101)&gt;1,0,MIN(I100,I101))</f>
        <v>9.9999998000000053E-5</v>
      </c>
      <c r="J102" s="225">
        <f t="shared" si="22"/>
        <v>1.0000000200000004E-4</v>
      </c>
      <c r="K102" s="225">
        <f t="shared" si="22"/>
        <v>9.9999998000000053E-5</v>
      </c>
      <c r="L102" s="225">
        <f t="shared" si="22"/>
        <v>0</v>
      </c>
      <c r="M102" s="225">
        <f t="shared" si="22"/>
        <v>0</v>
      </c>
      <c r="N102" s="225">
        <f t="shared" si="22"/>
        <v>0</v>
      </c>
      <c r="O102" s="225">
        <f t="shared" si="22"/>
        <v>0</v>
      </c>
      <c r="P102" s="225">
        <f t="shared" si="22"/>
        <v>0</v>
      </c>
      <c r="Q102" s="225">
        <f t="shared" si="22"/>
        <v>0</v>
      </c>
      <c r="R102" s="225">
        <f t="shared" si="22"/>
        <v>0</v>
      </c>
      <c r="S102" s="225">
        <f t="shared" si="22"/>
        <v>0</v>
      </c>
    </row>
    <row r="103" spans="1:19" x14ac:dyDescent="0.25">
      <c r="A103" s="102"/>
      <c r="B103" s="210"/>
      <c r="H103" s="81" t="s">
        <v>262</v>
      </c>
    </row>
    <row r="104" spans="1:19" x14ac:dyDescent="0.25">
      <c r="A104" s="102"/>
      <c r="B104" s="210"/>
      <c r="G104" s="150"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10"/>
      <c r="G105" s="150"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10"/>
      <c r="G106" s="81" t="s">
        <v>256</v>
      </c>
      <c r="H106" s="225">
        <f>IF(MIN(H104,H105)&gt;1,0,MIN(H104,H105))</f>
        <v>9.9999998000000053E-5</v>
      </c>
      <c r="I106" s="225">
        <f t="shared" ref="I106:S106" si="25">IF(MIN(I104,I105)&gt;1,0,MIN(I104,I105))</f>
        <v>1.0000000200000004E-4</v>
      </c>
      <c r="J106" s="225">
        <f t="shared" si="25"/>
        <v>1.0000000200000004E-4</v>
      </c>
      <c r="K106" s="225">
        <f t="shared" si="25"/>
        <v>9.9999998000000053E-5</v>
      </c>
      <c r="L106" s="225">
        <f t="shared" si="25"/>
        <v>0</v>
      </c>
      <c r="M106" s="225">
        <f t="shared" si="25"/>
        <v>0</v>
      </c>
      <c r="N106" s="225">
        <f t="shared" si="25"/>
        <v>0</v>
      </c>
      <c r="O106" s="225">
        <f t="shared" si="25"/>
        <v>0</v>
      </c>
      <c r="P106" s="225">
        <f t="shared" si="25"/>
        <v>0</v>
      </c>
      <c r="Q106" s="225">
        <f t="shared" si="25"/>
        <v>0</v>
      </c>
      <c r="R106" s="225">
        <f t="shared" si="25"/>
        <v>0</v>
      </c>
      <c r="S106" s="225">
        <f t="shared" si="25"/>
        <v>0</v>
      </c>
    </row>
    <row r="107" spans="1:19" x14ac:dyDescent="0.25">
      <c r="A107" s="102"/>
      <c r="B107" s="210"/>
    </row>
    <row r="108" spans="1:19" x14ac:dyDescent="0.25">
      <c r="A108" s="102"/>
      <c r="B108" s="210"/>
      <c r="G108" s="224" t="s">
        <v>308</v>
      </c>
      <c r="H108" s="224"/>
      <c r="I108" s="224"/>
      <c r="J108" s="224"/>
      <c r="K108" s="224"/>
      <c r="L108" s="224"/>
      <c r="M108" s="224"/>
      <c r="N108" s="224"/>
      <c r="O108" s="224"/>
      <c r="P108" s="224"/>
    </row>
    <row r="109" spans="1:19" x14ac:dyDescent="0.25">
      <c r="A109" s="102"/>
      <c r="B109" s="210"/>
      <c r="H109" s="102" t="s">
        <v>253</v>
      </c>
      <c r="I109" s="102"/>
      <c r="J109" s="102"/>
      <c r="K109" s="102"/>
      <c r="L109" s="102"/>
      <c r="M109" s="102"/>
      <c r="N109" s="102"/>
      <c r="O109" s="102"/>
      <c r="P109" s="102"/>
      <c r="Q109" s="102"/>
      <c r="R109" s="102"/>
      <c r="S109" s="102"/>
    </row>
    <row r="110" spans="1:19" x14ac:dyDescent="0.25">
      <c r="G110" s="150" t="s">
        <v>258</v>
      </c>
      <c r="H110" s="225">
        <f t="shared" ref="H110:S110" si="26">H56/(H33+0.000001)</f>
        <v>0</v>
      </c>
      <c r="I110" s="225">
        <f t="shared" si="26"/>
        <v>0</v>
      </c>
      <c r="J110" s="225">
        <f t="shared" si="26"/>
        <v>0</v>
      </c>
      <c r="K110" s="225">
        <f t="shared" si="26"/>
        <v>0</v>
      </c>
      <c r="L110" s="225">
        <f t="shared" si="26"/>
        <v>0</v>
      </c>
      <c r="M110" s="225">
        <f t="shared" si="26"/>
        <v>0</v>
      </c>
      <c r="N110" s="225">
        <f t="shared" si="26"/>
        <v>0</v>
      </c>
      <c r="O110" s="225">
        <f t="shared" si="26"/>
        <v>0</v>
      </c>
      <c r="P110" s="225">
        <f t="shared" si="26"/>
        <v>0</v>
      </c>
      <c r="Q110" s="225">
        <f t="shared" si="26"/>
        <v>0</v>
      </c>
      <c r="R110" s="225">
        <f t="shared" si="26"/>
        <v>0</v>
      </c>
      <c r="S110" s="225">
        <f t="shared" si="26"/>
        <v>0</v>
      </c>
    </row>
    <row r="111" spans="1:19" x14ac:dyDescent="0.25">
      <c r="G111" s="150" t="s">
        <v>258</v>
      </c>
      <c r="H111" s="227">
        <f t="shared" ref="H111:S111" si="27">H57/(H32+0.000001)</f>
        <v>0</v>
      </c>
      <c r="I111" s="227">
        <f t="shared" si="27"/>
        <v>0</v>
      </c>
      <c r="J111" s="227">
        <f t="shared" si="27"/>
        <v>0</v>
      </c>
      <c r="K111" s="227">
        <f t="shared" si="27"/>
        <v>0</v>
      </c>
      <c r="L111" s="227">
        <f t="shared" si="27"/>
        <v>0</v>
      </c>
      <c r="M111" s="227">
        <f t="shared" si="27"/>
        <v>0</v>
      </c>
      <c r="N111" s="227">
        <f t="shared" si="27"/>
        <v>0</v>
      </c>
      <c r="O111" s="227">
        <f t="shared" si="27"/>
        <v>0</v>
      </c>
      <c r="P111" s="227">
        <f t="shared" si="27"/>
        <v>0</v>
      </c>
      <c r="Q111" s="227">
        <f t="shared" si="27"/>
        <v>0</v>
      </c>
      <c r="R111" s="227">
        <f t="shared" si="27"/>
        <v>0</v>
      </c>
      <c r="S111" s="227">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5">
        <f>IF(H112*MIN(ABS(H110),ABS(H111))&gt;1,0,H112*MIN(ABS(H110),ABS(H111)))</f>
        <v>0</v>
      </c>
      <c r="I113" s="225">
        <f t="shared" ref="I113:S113" si="29">IF(I112*MIN(ABS(I110),ABS(I111))&gt;1,0,I112*MIN(ABS(I110),ABS(I111)))</f>
        <v>0</v>
      </c>
      <c r="J113" s="225">
        <f t="shared" si="29"/>
        <v>0</v>
      </c>
      <c r="K113" s="225">
        <f t="shared" si="29"/>
        <v>0</v>
      </c>
      <c r="L113" s="225">
        <f t="shared" si="29"/>
        <v>0</v>
      </c>
      <c r="M113" s="225">
        <f t="shared" si="29"/>
        <v>0</v>
      </c>
      <c r="N113" s="225">
        <f t="shared" si="29"/>
        <v>0</v>
      </c>
      <c r="O113" s="225">
        <f t="shared" si="29"/>
        <v>0</v>
      </c>
      <c r="P113" s="225">
        <f t="shared" si="29"/>
        <v>0</v>
      </c>
      <c r="Q113" s="225">
        <f t="shared" si="29"/>
        <v>0</v>
      </c>
      <c r="R113" s="225">
        <f t="shared" si="29"/>
        <v>0</v>
      </c>
      <c r="S113" s="225">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15" t="s">
        <v>258</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x14ac:dyDescent="0.25">
      <c r="G117" s="155" t="s">
        <v>257</v>
      </c>
      <c r="H117" s="228">
        <f>SIGN(H115+0.000000000001)*SIGN(H116+0.000000000001)</f>
        <v>1</v>
      </c>
      <c r="I117" s="228">
        <f t="shared" ref="I117:S117" si="32">SIGN(I115+0.000000000001)*SIGN(I116+0.000000000001)</f>
        <v>1</v>
      </c>
      <c r="J117" s="228">
        <f t="shared" si="32"/>
        <v>1</v>
      </c>
      <c r="K117" s="228">
        <f t="shared" si="32"/>
        <v>1</v>
      </c>
      <c r="L117" s="228">
        <f t="shared" si="32"/>
        <v>1</v>
      </c>
      <c r="M117" s="228">
        <f t="shared" si="32"/>
        <v>1</v>
      </c>
      <c r="N117" s="228">
        <f t="shared" si="32"/>
        <v>1</v>
      </c>
      <c r="O117" s="228">
        <f t="shared" si="32"/>
        <v>1</v>
      </c>
      <c r="P117" s="228">
        <f t="shared" si="32"/>
        <v>1</v>
      </c>
      <c r="Q117" s="228">
        <f t="shared" si="32"/>
        <v>1</v>
      </c>
      <c r="R117" s="228">
        <f t="shared" si="32"/>
        <v>1</v>
      </c>
      <c r="S117" s="228">
        <f t="shared" si="32"/>
        <v>1</v>
      </c>
    </row>
    <row r="118" spans="7:19" x14ac:dyDescent="0.25">
      <c r="G118" s="155" t="s">
        <v>256</v>
      </c>
      <c r="H118" s="229">
        <f>IF(H117*MIN(ABS(H115),ABS(H116))&gt;1,0,H117*MIN(ABS(H115),ABS(H116)))</f>
        <v>0</v>
      </c>
      <c r="I118" s="229">
        <f t="shared" ref="I118:S118" si="33">IF(I117*MIN(ABS(I115),ABS(I116))&gt;1,0,I117*MIN(ABS(I115),ABS(I116)))</f>
        <v>0</v>
      </c>
      <c r="J118" s="229">
        <f t="shared" si="33"/>
        <v>0</v>
      </c>
      <c r="K118" s="229">
        <f t="shared" si="33"/>
        <v>0</v>
      </c>
      <c r="L118" s="229">
        <f t="shared" si="33"/>
        <v>0</v>
      </c>
      <c r="M118" s="229">
        <f t="shared" si="33"/>
        <v>0</v>
      </c>
      <c r="N118" s="229">
        <f t="shared" si="33"/>
        <v>0</v>
      </c>
      <c r="O118" s="229">
        <f t="shared" si="33"/>
        <v>0</v>
      </c>
      <c r="P118" s="229">
        <f t="shared" si="33"/>
        <v>0</v>
      </c>
      <c r="Q118" s="229">
        <f t="shared" si="33"/>
        <v>0</v>
      </c>
      <c r="R118" s="229">
        <f t="shared" si="33"/>
        <v>0</v>
      </c>
      <c r="S118" s="229">
        <f t="shared" si="33"/>
        <v>0</v>
      </c>
    </row>
    <row r="119" spans="7:19" x14ac:dyDescent="0.25">
      <c r="H119" s="102" t="s">
        <v>255</v>
      </c>
      <c r="I119" s="102"/>
      <c r="J119" s="102"/>
      <c r="K119" s="102"/>
      <c r="L119" s="102"/>
      <c r="M119" s="102"/>
      <c r="N119" s="102"/>
      <c r="O119" s="102"/>
      <c r="P119" s="102"/>
      <c r="Q119" s="102"/>
      <c r="R119" s="102"/>
      <c r="S119" s="102"/>
    </row>
    <row r="120" spans="7:19" x14ac:dyDescent="0.25">
      <c r="G120" s="150" t="s">
        <v>258</v>
      </c>
      <c r="H120" s="225">
        <f t="shared" ref="H120:S120" si="34">H56/(H31+0.000001)</f>
        <v>0</v>
      </c>
      <c r="I120" s="225">
        <f t="shared" si="34"/>
        <v>0</v>
      </c>
      <c r="J120" s="225">
        <f t="shared" si="34"/>
        <v>0</v>
      </c>
      <c r="K120" s="225">
        <f t="shared" si="34"/>
        <v>0</v>
      </c>
      <c r="L120" s="225">
        <f t="shared" si="34"/>
        <v>0</v>
      </c>
      <c r="M120" s="225">
        <f t="shared" si="34"/>
        <v>0</v>
      </c>
      <c r="N120" s="225">
        <f t="shared" si="34"/>
        <v>0</v>
      </c>
      <c r="O120" s="225">
        <f t="shared" si="34"/>
        <v>0</v>
      </c>
      <c r="P120" s="225">
        <f t="shared" si="34"/>
        <v>0</v>
      </c>
      <c r="Q120" s="225">
        <f t="shared" si="34"/>
        <v>0</v>
      </c>
      <c r="R120" s="225">
        <f t="shared" si="34"/>
        <v>0</v>
      </c>
      <c r="S120" s="225">
        <f t="shared" si="34"/>
        <v>0</v>
      </c>
    </row>
    <row r="121" spans="7:19" x14ac:dyDescent="0.25">
      <c r="G121" s="150"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5">
        <f>IF(H122*MIN(ABS(H120),ABS(H121))&gt;1,0,H122*MIN(ABS(H120),ABS(H121)))</f>
        <v>0</v>
      </c>
      <c r="I123" s="225">
        <f t="shared" ref="I123:S123" si="37">IF(I122*MIN(ABS(I120),ABS(I121))&gt;1,0,I122*MIN(ABS(I120),ABS(I121)))</f>
        <v>0</v>
      </c>
      <c r="J123" s="225">
        <f t="shared" si="37"/>
        <v>0</v>
      </c>
      <c r="K123" s="225">
        <f t="shared" si="37"/>
        <v>0</v>
      </c>
      <c r="L123" s="225">
        <f t="shared" si="37"/>
        <v>0</v>
      </c>
      <c r="M123" s="225">
        <f t="shared" si="37"/>
        <v>0</v>
      </c>
      <c r="N123" s="225">
        <f t="shared" si="37"/>
        <v>0</v>
      </c>
      <c r="O123" s="225">
        <f t="shared" si="37"/>
        <v>0</v>
      </c>
      <c r="P123" s="225">
        <f t="shared" si="37"/>
        <v>0</v>
      </c>
      <c r="Q123" s="225">
        <f t="shared" si="37"/>
        <v>0</v>
      </c>
      <c r="R123" s="225">
        <f t="shared" si="37"/>
        <v>0</v>
      </c>
      <c r="S123" s="225">
        <f t="shared" si="37"/>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5"/>
      <c r="I126" s="225"/>
      <c r="J126" s="225"/>
      <c r="K126" s="225"/>
      <c r="L126" s="225"/>
      <c r="M126" s="225"/>
      <c r="N126" s="225"/>
      <c r="O126" s="225"/>
      <c r="P126" s="225"/>
      <c r="Q126" s="225"/>
      <c r="R126" s="225"/>
      <c r="S126" s="225"/>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I2" sqref="I2"/>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6" t="str">
        <f>'CSs and Loads'!A276</f>
        <v>CS 9</v>
      </c>
      <c r="B1" s="206" t="str">
        <f>'CSs and Loads'!A286</f>
        <v>Thing 9</v>
      </c>
    </row>
    <row r="2" spans="1:18" ht="16.5" thickBot="1" x14ac:dyDescent="0.3">
      <c r="A2" s="82" t="s">
        <v>132</v>
      </c>
      <c r="E2" s="177"/>
      <c r="F2" s="177"/>
      <c r="G2" s="177"/>
      <c r="H2" s="177"/>
      <c r="I2" s="243"/>
      <c r="J2" s="177"/>
      <c r="K2" s="177"/>
      <c r="L2" s="244"/>
      <c r="M2" s="244"/>
      <c r="N2" s="208"/>
    </row>
    <row r="3" spans="1:18" x14ac:dyDescent="0.25">
      <c r="A3" s="209" t="s">
        <v>111</v>
      </c>
      <c r="D3" s="242"/>
      <c r="E3" s="368" t="s">
        <v>368</v>
      </c>
      <c r="F3" s="369"/>
      <c r="G3" s="369"/>
      <c r="H3" s="369"/>
      <c r="I3" s="369"/>
      <c r="J3" s="369"/>
      <c r="K3" s="369"/>
      <c r="L3" s="369"/>
      <c r="M3" s="370"/>
      <c r="N3" s="183"/>
      <c r="O3" s="210"/>
      <c r="P3" s="210"/>
      <c r="Q3" s="210"/>
      <c r="R3" s="210"/>
    </row>
    <row r="4" spans="1:18" x14ac:dyDescent="0.25">
      <c r="A4" s="209"/>
      <c r="C4" s="82" t="s">
        <v>365</v>
      </c>
      <c r="D4" s="170"/>
      <c r="E4" s="382" t="s">
        <v>367</v>
      </c>
      <c r="F4" s="383"/>
      <c r="G4" s="383"/>
      <c r="H4" s="383"/>
      <c r="I4" s="383"/>
      <c r="J4" s="383"/>
      <c r="K4" s="383"/>
      <c r="L4" s="383"/>
      <c r="M4" s="384"/>
      <c r="N4" s="183"/>
      <c r="O4" s="210"/>
      <c r="P4" s="210"/>
      <c r="Q4" s="210"/>
      <c r="R4" s="210"/>
    </row>
    <row r="5" spans="1:18" x14ac:dyDescent="0.25">
      <c r="A5" s="209"/>
      <c r="C5" s="102" t="s">
        <v>363</v>
      </c>
      <c r="D5" s="170">
        <v>25</v>
      </c>
      <c r="E5" s="184" t="s">
        <v>282</v>
      </c>
      <c r="F5" s="353" t="s">
        <v>285</v>
      </c>
      <c r="G5" s="148">
        <v>0</v>
      </c>
      <c r="H5" s="148">
        <v>0</v>
      </c>
      <c r="I5" s="148">
        <v>0</v>
      </c>
      <c r="J5" s="148">
        <v>0</v>
      </c>
      <c r="K5" s="148">
        <v>0</v>
      </c>
      <c r="L5" s="148">
        <v>0</v>
      </c>
      <c r="M5" s="185" t="s">
        <v>276</v>
      </c>
      <c r="N5" s="183"/>
      <c r="O5" s="210"/>
      <c r="P5" s="210"/>
      <c r="Q5" s="210"/>
      <c r="R5" s="210"/>
    </row>
    <row r="6" spans="1:18" x14ac:dyDescent="0.25">
      <c r="A6" s="209"/>
      <c r="C6" s="102" t="s">
        <v>32</v>
      </c>
      <c r="D6" s="170">
        <f>1770*9.8</f>
        <v>17346</v>
      </c>
      <c r="E6" s="184" t="s">
        <v>283</v>
      </c>
      <c r="F6" s="353"/>
      <c r="G6" s="148">
        <v>0</v>
      </c>
      <c r="H6" s="148">
        <v>0</v>
      </c>
      <c r="I6" s="148">
        <v>0</v>
      </c>
      <c r="J6" s="148">
        <v>0</v>
      </c>
      <c r="K6" s="148">
        <v>0</v>
      </c>
      <c r="L6" s="148">
        <v>0</v>
      </c>
      <c r="M6" s="185" t="s">
        <v>277</v>
      </c>
      <c r="N6" s="183"/>
      <c r="O6" s="210"/>
      <c r="P6" s="210"/>
      <c r="Q6" s="210"/>
      <c r="R6" s="210"/>
    </row>
    <row r="7" spans="1:18" x14ac:dyDescent="0.25">
      <c r="A7" s="209"/>
      <c r="C7" s="102" t="s">
        <v>242</v>
      </c>
      <c r="D7" s="170">
        <f>647*1000</f>
        <v>647000</v>
      </c>
      <c r="E7" s="184" t="s">
        <v>284</v>
      </c>
      <c r="F7" s="353"/>
      <c r="G7" s="148">
        <v>0</v>
      </c>
      <c r="H7" s="148">
        <v>0</v>
      </c>
      <c r="I7" s="148">
        <v>0</v>
      </c>
      <c r="J7" s="148">
        <v>0</v>
      </c>
      <c r="K7" s="148">
        <v>0</v>
      </c>
      <c r="L7" s="148">
        <v>0</v>
      </c>
      <c r="M7" s="185" t="s">
        <v>278</v>
      </c>
      <c r="N7" s="183"/>
      <c r="O7" s="210"/>
      <c r="P7" s="210"/>
      <c r="Q7" s="210"/>
      <c r="R7" s="210"/>
    </row>
    <row r="8" spans="1:18" x14ac:dyDescent="0.25">
      <c r="A8" s="209"/>
      <c r="C8" s="102" t="s">
        <v>33</v>
      </c>
      <c r="D8" s="170">
        <v>3</v>
      </c>
      <c r="E8" s="184" t="s">
        <v>273</v>
      </c>
      <c r="F8" s="353"/>
      <c r="G8" s="148">
        <v>0</v>
      </c>
      <c r="H8" s="148">
        <v>0</v>
      </c>
      <c r="I8" s="148">
        <v>0</v>
      </c>
      <c r="J8" s="148">
        <v>0</v>
      </c>
      <c r="K8" s="148">
        <v>0</v>
      </c>
      <c r="L8" s="148">
        <v>0</v>
      </c>
      <c r="M8" s="185" t="s">
        <v>279</v>
      </c>
      <c r="N8" s="183"/>
      <c r="O8" s="210"/>
      <c r="P8" s="210"/>
      <c r="Q8" s="210"/>
      <c r="R8" s="210"/>
    </row>
    <row r="9" spans="1:18" x14ac:dyDescent="0.25">
      <c r="A9" s="209"/>
      <c r="C9" s="102" t="s">
        <v>34</v>
      </c>
      <c r="D9" s="170">
        <v>0.01</v>
      </c>
      <c r="E9" s="184" t="s">
        <v>275</v>
      </c>
      <c r="F9" s="353"/>
      <c r="G9" s="148">
        <v>0</v>
      </c>
      <c r="H9" s="148">
        <v>0</v>
      </c>
      <c r="I9" s="148">
        <v>0</v>
      </c>
      <c r="J9" s="148">
        <v>0</v>
      </c>
      <c r="K9" s="148">
        <v>0</v>
      </c>
      <c r="L9" s="148">
        <v>0</v>
      </c>
      <c r="M9" s="185" t="s">
        <v>280</v>
      </c>
      <c r="N9" s="183"/>
      <c r="O9" s="210"/>
      <c r="P9" s="210"/>
      <c r="Q9" s="210"/>
      <c r="R9" s="210"/>
    </row>
    <row r="10" spans="1:18" ht="16.5" thickBot="1" x14ac:dyDescent="0.3">
      <c r="A10" s="209"/>
      <c r="C10" s="102" t="s">
        <v>288</v>
      </c>
      <c r="D10" s="238">
        <f>D6/(D8*D9)</f>
        <v>578200</v>
      </c>
      <c r="E10" s="186" t="s">
        <v>274</v>
      </c>
      <c r="F10" s="381"/>
      <c r="G10" s="190">
        <v>0</v>
      </c>
      <c r="H10" s="190">
        <v>0</v>
      </c>
      <c r="I10" s="190">
        <v>0</v>
      </c>
      <c r="J10" s="190">
        <v>0</v>
      </c>
      <c r="K10" s="190">
        <v>0</v>
      </c>
      <c r="L10" s="190">
        <v>0</v>
      </c>
      <c r="M10" s="189" t="s">
        <v>281</v>
      </c>
      <c r="N10" s="183"/>
      <c r="O10" s="210"/>
      <c r="P10" s="210"/>
      <c r="Q10" s="210"/>
      <c r="R10" s="210"/>
    </row>
    <row r="11" spans="1:18" x14ac:dyDescent="0.25">
      <c r="A11" s="209"/>
      <c r="C11" s="102" t="s">
        <v>35</v>
      </c>
      <c r="D11" s="82">
        <v>25</v>
      </c>
      <c r="E11" s="164"/>
      <c r="F11" s="164"/>
      <c r="G11" s="164"/>
      <c r="H11" s="164"/>
      <c r="I11" s="164"/>
      <c r="J11" s="164"/>
      <c r="K11" s="164"/>
      <c r="L11" s="164"/>
      <c r="M11" s="164"/>
      <c r="O11" s="210"/>
      <c r="P11" s="210"/>
      <c r="Q11" s="210"/>
      <c r="R11" s="210"/>
    </row>
    <row r="12" spans="1:18" x14ac:dyDescent="0.25">
      <c r="A12" s="209"/>
      <c r="C12" s="102" t="s">
        <v>375</v>
      </c>
      <c r="D12" s="101">
        <f>D7*D11^2/4</f>
        <v>101093750</v>
      </c>
      <c r="O12" s="210"/>
      <c r="P12" s="210"/>
      <c r="Q12" s="210"/>
      <c r="R12" s="210"/>
    </row>
    <row r="13" spans="1:18" x14ac:dyDescent="0.25">
      <c r="A13" s="209"/>
      <c r="C13" s="102" t="s">
        <v>289</v>
      </c>
      <c r="D13" s="101">
        <f>D7*D11^2/12</f>
        <v>33697916.666666664</v>
      </c>
      <c r="O13" s="210"/>
      <c r="P13" s="210"/>
      <c r="Q13" s="210"/>
      <c r="R13" s="210"/>
    </row>
    <row r="14" spans="1:18" x14ac:dyDescent="0.25">
      <c r="A14" s="209"/>
      <c r="C14" s="102" t="s">
        <v>290</v>
      </c>
      <c r="D14" s="98">
        <f>D13</f>
        <v>33697916.666666664</v>
      </c>
      <c r="O14" s="210"/>
      <c r="P14" s="210"/>
      <c r="Q14" s="210"/>
      <c r="R14" s="210"/>
    </row>
    <row r="15" spans="1:18" x14ac:dyDescent="0.25">
      <c r="A15" s="209"/>
      <c r="C15" s="114" t="s">
        <v>364</v>
      </c>
      <c r="D15" s="82"/>
      <c r="O15" s="210"/>
      <c r="P15" s="210"/>
      <c r="Q15" s="210"/>
      <c r="R15" s="210"/>
    </row>
    <row r="16" spans="1:18" x14ac:dyDescent="0.25">
      <c r="A16" s="209"/>
      <c r="C16" s="115" t="s">
        <v>267</v>
      </c>
      <c r="D16" s="82"/>
      <c r="O16" s="210"/>
      <c r="P16" s="210"/>
      <c r="Q16" s="210"/>
      <c r="R16" s="210"/>
    </row>
    <row r="17" spans="1:19" x14ac:dyDescent="0.25">
      <c r="A17" s="209"/>
      <c r="C17" s="116" t="s">
        <v>269</v>
      </c>
      <c r="D17" s="82">
        <v>18</v>
      </c>
      <c r="O17" s="210"/>
      <c r="P17" s="210"/>
      <c r="Q17" s="210"/>
      <c r="R17" s="210"/>
    </row>
    <row r="18" spans="1:19" x14ac:dyDescent="0.25">
      <c r="A18" s="209"/>
      <c r="C18" s="116" t="s">
        <v>233</v>
      </c>
      <c r="D18" s="82">
        <v>2500</v>
      </c>
      <c r="O18" s="210"/>
      <c r="P18" s="210"/>
      <c r="Q18" s="210"/>
      <c r="R18" s="210"/>
    </row>
    <row r="19" spans="1:19" x14ac:dyDescent="0.25">
      <c r="A19" s="209"/>
      <c r="C19" s="102" t="s">
        <v>54</v>
      </c>
      <c r="D19" s="117">
        <v>200000</v>
      </c>
      <c r="O19" s="210"/>
      <c r="P19" s="210"/>
      <c r="Q19" s="210"/>
      <c r="R19" s="210"/>
    </row>
    <row r="20" spans="1:19" x14ac:dyDescent="0.25">
      <c r="A20" s="209"/>
      <c r="C20" s="116" t="s">
        <v>268</v>
      </c>
      <c r="D20" s="99">
        <f>PI()*D17^2/4*D19/D18</f>
        <v>20357.520395261861</v>
      </c>
      <c r="O20" s="210"/>
      <c r="P20" s="210"/>
      <c r="Q20" s="210"/>
      <c r="R20" s="210"/>
    </row>
    <row r="21" spans="1:19" ht="16.5" thickBot="1" x14ac:dyDescent="0.3">
      <c r="A21" s="239"/>
      <c r="B21" s="177"/>
      <c r="C21" s="240" t="s">
        <v>318</v>
      </c>
      <c r="D21" s="230">
        <v>3</v>
      </c>
      <c r="E21" s="177"/>
      <c r="F21" s="177"/>
      <c r="G21" s="177"/>
      <c r="H21" s="177"/>
      <c r="I21" s="177"/>
      <c r="J21" s="177"/>
      <c r="K21" s="177"/>
      <c r="L21" s="177"/>
      <c r="M21" s="177"/>
      <c r="O21" s="210"/>
      <c r="P21" s="210"/>
      <c r="Q21" s="210"/>
      <c r="R21" s="210"/>
    </row>
    <row r="22" spans="1:19" ht="16.5" thickBot="1" x14ac:dyDescent="0.3">
      <c r="A22" s="391" t="s">
        <v>369</v>
      </c>
      <c r="B22" s="392"/>
      <c r="C22" s="392"/>
      <c r="D22" s="392"/>
      <c r="E22" s="392"/>
      <c r="F22" s="392"/>
      <c r="G22" s="392"/>
      <c r="H22" s="392"/>
      <c r="I22" s="392"/>
      <c r="J22" s="392"/>
      <c r="K22" s="392"/>
      <c r="L22" s="392"/>
      <c r="M22" s="393"/>
      <c r="N22" s="183"/>
      <c r="O22" s="210"/>
      <c r="P22" s="210"/>
      <c r="Q22" s="210"/>
      <c r="R22" s="210"/>
    </row>
    <row r="23" spans="1:19" ht="31.5" x14ac:dyDescent="0.25">
      <c r="A23" s="276" t="s">
        <v>370</v>
      </c>
      <c r="B23" s="233"/>
      <c r="C23" s="241" t="s">
        <v>265</v>
      </c>
      <c r="D23" s="164"/>
      <c r="E23" s="164"/>
      <c r="F23" s="164"/>
      <c r="G23" s="164"/>
      <c r="H23" s="164"/>
      <c r="I23" s="164"/>
      <c r="J23" s="164"/>
      <c r="K23" s="164"/>
      <c r="L23" s="164"/>
      <c r="M23" s="164"/>
      <c r="O23" s="210"/>
      <c r="P23" s="210"/>
      <c r="Q23" s="210"/>
      <c r="R23" s="210"/>
    </row>
    <row r="24" spans="1:19" x14ac:dyDescent="0.25">
      <c r="A24" s="102" t="s">
        <v>3</v>
      </c>
      <c r="B24" s="107"/>
      <c r="C24" s="155"/>
      <c r="O24" s="210"/>
      <c r="P24" s="210"/>
      <c r="Q24" s="210"/>
      <c r="R24" s="210"/>
    </row>
    <row r="25" spans="1:19" x14ac:dyDescent="0.25">
      <c r="A25" s="218" t="s">
        <v>117</v>
      </c>
      <c r="B25" s="153">
        <f>SUM(H35:S35)+C25</f>
        <v>6785.8401317539538</v>
      </c>
      <c r="C25" s="237">
        <f>D20/D21</f>
        <v>6785.8401317539538</v>
      </c>
      <c r="O25" s="210"/>
      <c r="P25" s="210"/>
      <c r="Q25" s="210"/>
      <c r="R25" s="210"/>
    </row>
    <row r="26" spans="1:19" x14ac:dyDescent="0.25">
      <c r="A26" s="218" t="s">
        <v>118</v>
      </c>
      <c r="B26" s="153">
        <f>SUM(H36:S36)+C26</f>
        <v>2588000</v>
      </c>
      <c r="C26" s="219">
        <v>0</v>
      </c>
      <c r="G26" s="243" t="s">
        <v>184</v>
      </c>
      <c r="O26" s="210"/>
      <c r="P26" s="210"/>
      <c r="Q26" s="210"/>
      <c r="R26" s="210"/>
    </row>
    <row r="27" spans="1:19" x14ac:dyDescent="0.25">
      <c r="A27" s="218" t="s">
        <v>119</v>
      </c>
      <c r="B27" s="153">
        <f>SUM(H37:S37)+C27</f>
        <v>2588000</v>
      </c>
      <c r="C27" s="219">
        <v>0</v>
      </c>
      <c r="G27" s="82" t="s">
        <v>124</v>
      </c>
      <c r="O27" s="210"/>
      <c r="P27" s="210"/>
      <c r="Q27" s="210"/>
      <c r="R27" s="210"/>
    </row>
    <row r="28" spans="1:19" x14ac:dyDescent="0.25">
      <c r="A28" s="102" t="s">
        <v>115</v>
      </c>
      <c r="B28" s="107"/>
      <c r="C28" s="200"/>
      <c r="D28" s="88"/>
      <c r="E28" s="88"/>
      <c r="F28" s="88"/>
      <c r="G28" s="213" t="s">
        <v>133</v>
      </c>
      <c r="H28" s="214">
        <v>4</v>
      </c>
      <c r="O28" s="210"/>
      <c r="P28" s="210"/>
      <c r="Q28" s="210"/>
      <c r="R28" s="210"/>
    </row>
    <row r="29" spans="1:19" x14ac:dyDescent="0.25">
      <c r="A29" s="218" t="s">
        <v>8</v>
      </c>
      <c r="B29" s="153">
        <f>SUM(H39:S39)+SUM(H43:S43)+C29</f>
        <v>6874375000</v>
      </c>
      <c r="C29" s="219">
        <v>0</v>
      </c>
      <c r="D29" s="88"/>
      <c r="E29" s="88"/>
      <c r="F29" s="88"/>
      <c r="H29" s="365" t="s">
        <v>129</v>
      </c>
      <c r="I29" s="365"/>
      <c r="J29" s="365"/>
      <c r="K29" s="365"/>
      <c r="L29" s="365"/>
      <c r="M29" s="365"/>
      <c r="N29" s="365"/>
      <c r="O29" s="365"/>
      <c r="P29" s="365"/>
      <c r="Q29" s="365"/>
      <c r="R29" s="365"/>
      <c r="S29" s="365"/>
    </row>
    <row r="30" spans="1:19" x14ac:dyDescent="0.25">
      <c r="A30" s="218" t="s">
        <v>120</v>
      </c>
      <c r="B30" s="153">
        <f>SUM(H40:S40)+SUM(H44:S44)+C30</f>
        <v>6604791666.666667</v>
      </c>
      <c r="C30" s="219">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8" t="s">
        <v>116</v>
      </c>
      <c r="B31" s="153">
        <f>SUM(H41:S41)+SUM(H45:S45)+C31</f>
        <v>6604791666.666667</v>
      </c>
      <c r="C31" s="219">
        <v>0</v>
      </c>
      <c r="D31" s="88"/>
      <c r="E31" s="88"/>
      <c r="F31" s="88"/>
      <c r="G31" s="102" t="s">
        <v>42</v>
      </c>
      <c r="H31" s="214">
        <v>50</v>
      </c>
      <c r="I31" s="214">
        <v>-50</v>
      </c>
      <c r="J31" s="214">
        <v>-50</v>
      </c>
      <c r="K31" s="214">
        <v>50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43</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D33" s="88"/>
      <c r="E33" s="88"/>
      <c r="F33" s="88"/>
      <c r="G33" s="102" t="s">
        <v>44</v>
      </c>
      <c r="H33" s="214">
        <v>50</v>
      </c>
      <c r="I33" s="214">
        <v>50</v>
      </c>
      <c r="J33" s="214">
        <v>-50</v>
      </c>
      <c r="K33" s="214">
        <v>-50</v>
      </c>
      <c r="L33" s="214">
        <v>0</v>
      </c>
      <c r="M33" s="214">
        <v>0</v>
      </c>
      <c r="N33" s="214">
        <v>0</v>
      </c>
      <c r="O33" s="214">
        <v>0</v>
      </c>
      <c r="P33" s="214">
        <v>0</v>
      </c>
      <c r="Q33" s="214">
        <v>0</v>
      </c>
      <c r="R33" s="214">
        <v>0</v>
      </c>
      <c r="S33" s="214">
        <v>0</v>
      </c>
    </row>
    <row r="34" spans="1:19" x14ac:dyDescent="0.25">
      <c r="A34" s="366"/>
      <c r="B34" s="366"/>
      <c r="C34" s="366"/>
      <c r="G34" s="82" t="s">
        <v>130</v>
      </c>
      <c r="H34" s="367"/>
      <c r="I34" s="367"/>
      <c r="J34" s="367"/>
      <c r="K34" s="367"/>
    </row>
    <row r="35" spans="1:19" x14ac:dyDescent="0.25">
      <c r="A35" s="221" t="s">
        <v>185</v>
      </c>
      <c r="B35" s="214"/>
      <c r="C35" s="214"/>
      <c r="D35" s="88"/>
      <c r="E35" s="88"/>
      <c r="F35" s="88"/>
      <c r="G35" s="102" t="s">
        <v>117</v>
      </c>
      <c r="H35" s="142">
        <v>0</v>
      </c>
      <c r="I35" s="142">
        <v>0</v>
      </c>
      <c r="J35" s="142">
        <v>0</v>
      </c>
      <c r="K35" s="142">
        <v>0</v>
      </c>
      <c r="L35" s="214">
        <v>0</v>
      </c>
      <c r="M35" s="214">
        <v>0</v>
      </c>
      <c r="N35" s="214">
        <v>0</v>
      </c>
      <c r="O35" s="214">
        <v>0</v>
      </c>
      <c r="P35" s="214">
        <v>0</v>
      </c>
      <c r="Q35" s="214">
        <v>0</v>
      </c>
      <c r="R35" s="214">
        <v>0</v>
      </c>
      <c r="S35" s="214">
        <v>0</v>
      </c>
    </row>
    <row r="36" spans="1:19" x14ac:dyDescent="0.25">
      <c r="A36" s="81" t="s">
        <v>109</v>
      </c>
      <c r="D36" s="88"/>
      <c r="E36" s="88"/>
      <c r="F36" s="88"/>
      <c r="G36" s="102" t="s">
        <v>118</v>
      </c>
      <c r="H36" s="142">
        <f>'ref bearings, servo, structure'!B5</f>
        <v>647000</v>
      </c>
      <c r="I36" s="142">
        <f>H36</f>
        <v>647000</v>
      </c>
      <c r="J36" s="142">
        <f t="shared" ref="J36:K36" si="1">I36</f>
        <v>647000</v>
      </c>
      <c r="K36" s="142">
        <f t="shared" si="1"/>
        <v>647000</v>
      </c>
      <c r="L36" s="214">
        <v>0</v>
      </c>
      <c r="M36" s="214">
        <v>0</v>
      </c>
      <c r="N36" s="214">
        <v>0</v>
      </c>
      <c r="O36" s="214">
        <v>0</v>
      </c>
      <c r="P36" s="214">
        <v>0</v>
      </c>
      <c r="Q36" s="214">
        <v>0</v>
      </c>
      <c r="R36" s="214">
        <v>0</v>
      </c>
      <c r="S36" s="214">
        <v>0</v>
      </c>
    </row>
    <row r="37" spans="1:19" x14ac:dyDescent="0.25">
      <c r="A37" s="102" t="s">
        <v>186</v>
      </c>
      <c r="B37" s="214">
        <v>0</v>
      </c>
      <c r="D37" s="88"/>
      <c r="E37" s="88"/>
      <c r="F37" s="88"/>
      <c r="G37" s="102" t="s">
        <v>119</v>
      </c>
      <c r="H37" s="142">
        <f>H36</f>
        <v>647000</v>
      </c>
      <c r="I37" s="142">
        <f t="shared" ref="I37:K37" si="2">I36</f>
        <v>647000</v>
      </c>
      <c r="J37" s="142">
        <f t="shared" si="2"/>
        <v>647000</v>
      </c>
      <c r="K37" s="142">
        <f t="shared" si="2"/>
        <v>647000</v>
      </c>
      <c r="L37" s="214">
        <v>0</v>
      </c>
      <c r="M37" s="214">
        <v>0</v>
      </c>
      <c r="N37" s="214">
        <v>0</v>
      </c>
      <c r="O37" s="214">
        <v>0</v>
      </c>
      <c r="P37" s="214">
        <v>0</v>
      </c>
      <c r="Q37" s="214">
        <v>0</v>
      </c>
      <c r="R37" s="214">
        <v>0</v>
      </c>
      <c r="S37" s="214">
        <v>0</v>
      </c>
    </row>
    <row r="38" spans="1:19" x14ac:dyDescent="0.25">
      <c r="A38" s="102" t="s">
        <v>187</v>
      </c>
      <c r="B38" s="214">
        <v>0</v>
      </c>
      <c r="D38" s="88"/>
      <c r="E38" s="88"/>
      <c r="F38" s="88"/>
      <c r="G38" s="82" t="s">
        <v>131</v>
      </c>
      <c r="H38" s="367"/>
      <c r="I38" s="367"/>
      <c r="J38" s="367"/>
      <c r="K38" s="367"/>
    </row>
    <row r="39" spans="1:19" x14ac:dyDescent="0.25">
      <c r="A39" s="102" t="s">
        <v>188</v>
      </c>
      <c r="B39" s="214">
        <v>0</v>
      </c>
      <c r="D39" s="88"/>
      <c r="E39" s="88"/>
      <c r="F39" s="88"/>
      <c r="G39" s="102" t="s">
        <v>8</v>
      </c>
      <c r="H39" s="142">
        <f>'ref bearings, servo, structure'!B10</f>
        <v>101093750</v>
      </c>
      <c r="I39" s="142">
        <f>H39</f>
        <v>101093750</v>
      </c>
      <c r="J39" s="142">
        <f t="shared" ref="J39:K39" si="3">I39</f>
        <v>101093750</v>
      </c>
      <c r="K39" s="142">
        <f t="shared" si="3"/>
        <v>101093750</v>
      </c>
      <c r="L39" s="214">
        <v>0</v>
      </c>
      <c r="M39" s="214">
        <v>0</v>
      </c>
      <c r="N39" s="214">
        <v>0</v>
      </c>
      <c r="O39" s="214">
        <v>0</v>
      </c>
      <c r="P39" s="214">
        <v>0</v>
      </c>
      <c r="Q39" s="214">
        <v>0</v>
      </c>
      <c r="R39" s="214">
        <v>0</v>
      </c>
      <c r="S39" s="214">
        <v>0</v>
      </c>
    </row>
    <row r="40" spans="1:19" x14ac:dyDescent="0.25">
      <c r="A40" s="150" t="s">
        <v>110</v>
      </c>
      <c r="D40" s="88"/>
      <c r="E40" s="88"/>
      <c r="F40" s="88"/>
      <c r="G40" s="102" t="s">
        <v>120</v>
      </c>
      <c r="H40" s="142">
        <f>'ref bearings, servo, structure'!B12</f>
        <v>33697916.666666664</v>
      </c>
      <c r="I40" s="142">
        <f t="shared" ref="I40:K41" si="4">H40</f>
        <v>33697916.666666664</v>
      </c>
      <c r="J40" s="142">
        <f t="shared" si="4"/>
        <v>33697916.666666664</v>
      </c>
      <c r="K40" s="142">
        <f t="shared" si="4"/>
        <v>33697916.666666664</v>
      </c>
      <c r="L40" s="214">
        <v>0</v>
      </c>
      <c r="M40" s="214">
        <v>0</v>
      </c>
      <c r="N40" s="214">
        <v>0</v>
      </c>
      <c r="O40" s="214">
        <v>0</v>
      </c>
      <c r="P40" s="214">
        <v>0</v>
      </c>
      <c r="Q40" s="214">
        <v>0</v>
      </c>
      <c r="R40" s="214">
        <v>0</v>
      </c>
      <c r="S40" s="214">
        <v>0</v>
      </c>
    </row>
    <row r="41" spans="1:19" x14ac:dyDescent="0.25">
      <c r="A41" s="102" t="s">
        <v>186</v>
      </c>
      <c r="B41" s="214">
        <v>0</v>
      </c>
      <c r="G41" s="102" t="s">
        <v>116</v>
      </c>
      <c r="H41" s="142">
        <f>'ref bearings, servo, structure'!B11</f>
        <v>33697916.666666664</v>
      </c>
      <c r="I41" s="142">
        <f t="shared" si="4"/>
        <v>33697916.666666664</v>
      </c>
      <c r="J41" s="142">
        <f t="shared" si="4"/>
        <v>33697916.666666664</v>
      </c>
      <c r="K41" s="142">
        <f t="shared" si="4"/>
        <v>33697916.666666664</v>
      </c>
      <c r="L41" s="214">
        <v>0</v>
      </c>
      <c r="M41" s="214">
        <v>0</v>
      </c>
      <c r="N41" s="214">
        <v>0</v>
      </c>
      <c r="O41" s="214">
        <v>0</v>
      </c>
      <c r="P41" s="214">
        <v>0</v>
      </c>
      <c r="Q41" s="214">
        <v>0</v>
      </c>
      <c r="R41" s="214">
        <v>0</v>
      </c>
      <c r="S41" s="214">
        <v>0</v>
      </c>
    </row>
    <row r="42" spans="1:19" x14ac:dyDescent="0.25">
      <c r="A42" s="102" t="s">
        <v>187</v>
      </c>
      <c r="B42" s="214">
        <v>0</v>
      </c>
      <c r="D42" s="217"/>
      <c r="E42" s="217"/>
      <c r="F42" s="217"/>
      <c r="G42" s="82" t="s">
        <v>125</v>
      </c>
    </row>
    <row r="43" spans="1:19" x14ac:dyDescent="0.25">
      <c r="A43" s="102" t="s">
        <v>188</v>
      </c>
      <c r="B43" s="214">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5" t="s">
        <v>206</v>
      </c>
      <c r="D44" s="219"/>
      <c r="E44" s="219"/>
      <c r="F44" s="219"/>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9"/>
      <c r="E45" s="219"/>
      <c r="F45" s="219"/>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8"/>
      <c r="D46" s="219"/>
      <c r="E46" s="219"/>
      <c r="F46" s="219"/>
      <c r="G46" s="82" t="s">
        <v>307</v>
      </c>
    </row>
    <row r="47" spans="1:19" x14ac:dyDescent="0.25">
      <c r="A47" s="102" t="s">
        <v>123</v>
      </c>
      <c r="B47" s="105">
        <f t="shared" si="8"/>
        <v>5.0000000000000001E-3</v>
      </c>
      <c r="C47" s="88"/>
      <c r="D47" s="200"/>
      <c r="E47" s="200"/>
      <c r="F47" s="200"/>
      <c r="G47" s="102" t="s">
        <v>121</v>
      </c>
      <c r="H47" s="214">
        <f t="shared" ref="H47:K49" si="9">0.005</f>
        <v>5.0000000000000001E-3</v>
      </c>
      <c r="I47" s="214">
        <f t="shared" si="9"/>
        <v>5.0000000000000001E-3</v>
      </c>
      <c r="J47" s="214">
        <f t="shared" si="9"/>
        <v>5.0000000000000001E-3</v>
      </c>
      <c r="K47" s="214">
        <f t="shared" si="9"/>
        <v>5.0000000000000001E-3</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1.0000000000000007E-4</v>
      </c>
      <c r="C48" s="88"/>
      <c r="D48" s="219"/>
      <c r="E48" s="219"/>
      <c r="F48" s="219"/>
      <c r="G48" s="102" t="s">
        <v>122</v>
      </c>
      <c r="H48" s="214">
        <f t="shared" si="9"/>
        <v>5.0000000000000001E-3</v>
      </c>
      <c r="I48" s="214">
        <f t="shared" si="9"/>
        <v>5.0000000000000001E-3</v>
      </c>
      <c r="J48" s="214">
        <f t="shared" si="9"/>
        <v>5.0000000000000001E-3</v>
      </c>
      <c r="K48" s="214">
        <f t="shared" si="9"/>
        <v>5.0000000000000001E-3</v>
      </c>
      <c r="L48" s="214">
        <v>0</v>
      </c>
      <c r="M48" s="214">
        <v>0</v>
      </c>
      <c r="N48" s="214">
        <v>0</v>
      </c>
      <c r="O48" s="214">
        <v>0</v>
      </c>
      <c r="P48" s="214">
        <v>0</v>
      </c>
      <c r="Q48" s="214">
        <v>0</v>
      </c>
      <c r="R48" s="214">
        <v>0</v>
      </c>
      <c r="S48" s="214">
        <v>0</v>
      </c>
    </row>
    <row r="49" spans="1:20" x14ac:dyDescent="0.25">
      <c r="A49" s="102" t="s">
        <v>86</v>
      </c>
      <c r="B49" s="105">
        <f>SQRT((H52^2+I52^2+J52^2+K52^2+L52^2+M52^2+N52^2+O52^2+P52^2+Q52^2+R52^2+S52^2+B38^2)/H$28)</f>
        <v>9.9999999000000077E-5</v>
      </c>
      <c r="C49" s="88"/>
      <c r="D49" s="219"/>
      <c r="E49" s="219"/>
      <c r="F49" s="219"/>
      <c r="G49" s="102" t="s">
        <v>123</v>
      </c>
      <c r="H49" s="214">
        <f t="shared" si="9"/>
        <v>5.0000000000000001E-3</v>
      </c>
      <c r="I49" s="214">
        <f t="shared" si="9"/>
        <v>5.0000000000000001E-3</v>
      </c>
      <c r="J49" s="214">
        <f t="shared" si="9"/>
        <v>5.0000000000000001E-3</v>
      </c>
      <c r="K49" s="214">
        <f t="shared" si="9"/>
        <v>5.0000000000000001E-3</v>
      </c>
      <c r="L49" s="214">
        <v>0</v>
      </c>
      <c r="M49" s="214">
        <v>0</v>
      </c>
      <c r="N49" s="214">
        <v>0</v>
      </c>
      <c r="O49" s="214">
        <v>0</v>
      </c>
      <c r="P49" s="214">
        <v>0</v>
      </c>
      <c r="Q49" s="214">
        <v>0</v>
      </c>
      <c r="R49" s="214">
        <v>0</v>
      </c>
      <c r="S49" s="214">
        <v>0</v>
      </c>
    </row>
    <row r="50" spans="1:20" x14ac:dyDescent="0.25">
      <c r="A50" s="102" t="s">
        <v>87</v>
      </c>
      <c r="B50" s="105">
        <f>SQRT((H53^2+I53^2+J53^2+K53^2+L53^2+M53^2+N53^2+O53^2+P53^2+Q53^2+R53^2+S53^2+B39^2)/H$28)</f>
        <v>1.0000000000000007E-4</v>
      </c>
      <c r="C50" s="88"/>
      <c r="D50" s="219"/>
      <c r="E50" s="219"/>
      <c r="F50" s="219"/>
      <c r="G50" s="82" t="s">
        <v>251</v>
      </c>
    </row>
    <row r="51" spans="1:20" ht="47.25" x14ac:dyDescent="0.25">
      <c r="A51" s="216" t="s">
        <v>207</v>
      </c>
      <c r="B51" s="107"/>
      <c r="D51" s="220"/>
      <c r="E51" s="220"/>
      <c r="F51" s="220"/>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x14ac:dyDescent="0.25">
      <c r="A52" s="102" t="s">
        <v>121</v>
      </c>
      <c r="B52" s="105">
        <f>SQRT((H55^2+I55^2+J55^2+K55^2+L55^2+M55^2+N55^2+O55^2+P55^2+Q55^2+R55^2+S55^2)/H$28)</f>
        <v>0</v>
      </c>
      <c r="C52" s="88"/>
      <c r="D52" s="220"/>
      <c r="E52" s="220"/>
      <c r="F52" s="220"/>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x14ac:dyDescent="0.25">
      <c r="A53" s="102" t="s">
        <v>122</v>
      </c>
      <c r="B53" s="105">
        <f t="shared" ref="B53:B54" si="12">SQRT((H56^2+I56^2+J56^2+K56^2+L56^2+M56^2+N56^2+O56^2+P56^2+Q56^2+R56^2+S56^2)/H$28)</f>
        <v>0</v>
      </c>
      <c r="C53" s="88"/>
      <c r="D53" s="220"/>
      <c r="E53" s="220"/>
      <c r="F53" s="220"/>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x14ac:dyDescent="0.25">
      <c r="A54" s="102" t="s">
        <v>123</v>
      </c>
      <c r="B54" s="105">
        <f t="shared" si="12"/>
        <v>0</v>
      </c>
      <c r="C54" s="88"/>
      <c r="D54" s="214"/>
      <c r="E54" s="214"/>
      <c r="F54" s="214"/>
      <c r="G54" s="82" t="s">
        <v>330</v>
      </c>
    </row>
    <row r="55" spans="1:20" x14ac:dyDescent="0.25">
      <c r="A55" s="102" t="s">
        <v>85</v>
      </c>
      <c r="B55" s="105">
        <f>SQRT((H59^2+I59^2+J59^2+K59^2+L59^2+M59^2+N59^2+O59^2+P59^2+Q59^2+R59^2+S59^2+B41^2)/H$28)</f>
        <v>0</v>
      </c>
      <c r="C55" s="88"/>
      <c r="G55" s="102" t="s">
        <v>121</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SQRT((H60^2+I60^2+J60^2+K60^2+L60^2+M60^2+N60^2+O60^2+P60^2+Q60^2+R60^2+S60^2+B42^2)/H$28)</f>
        <v>0</v>
      </c>
      <c r="C56" s="88"/>
      <c r="G56" s="102" t="s">
        <v>122</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SQRT((H61^2+I61^2+J61^2+K61^2+L61^2+M61^2+N61^2+O61^2+P61^2+Q61^2+R61^2+S61^2+B43^2)/H$28)</f>
        <v>0</v>
      </c>
      <c r="C57" s="88"/>
      <c r="G57" s="102" t="s">
        <v>123</v>
      </c>
      <c r="H57" s="214">
        <v>0</v>
      </c>
      <c r="I57" s="214">
        <v>0</v>
      </c>
      <c r="J57" s="214">
        <v>0</v>
      </c>
      <c r="K57" s="214">
        <v>0</v>
      </c>
      <c r="L57" s="214">
        <v>0</v>
      </c>
      <c r="M57" s="214">
        <v>0</v>
      </c>
      <c r="N57" s="214">
        <v>0</v>
      </c>
      <c r="O57" s="214">
        <v>0</v>
      </c>
      <c r="P57" s="214">
        <v>0</v>
      </c>
      <c r="Q57" s="214">
        <v>0</v>
      </c>
      <c r="R57" s="214">
        <v>0</v>
      </c>
      <c r="S57" s="214">
        <v>0</v>
      </c>
    </row>
    <row r="58" spans="1:20" x14ac:dyDescent="0.25">
      <c r="B58" s="107"/>
      <c r="G58" s="82" t="s">
        <v>252</v>
      </c>
    </row>
    <row r="59" spans="1:20" x14ac:dyDescent="0.25">
      <c r="G59" s="102" t="s">
        <v>85</v>
      </c>
      <c r="H59" s="222">
        <f>H113</f>
        <v>0</v>
      </c>
      <c r="I59" s="222">
        <f t="shared" ref="I59:S59" si="14">I113</f>
        <v>0</v>
      </c>
      <c r="J59" s="222">
        <f t="shared" si="14"/>
        <v>0</v>
      </c>
      <c r="K59" s="222">
        <f t="shared" si="14"/>
        <v>0</v>
      </c>
      <c r="L59" s="222">
        <f t="shared" si="14"/>
        <v>0</v>
      </c>
      <c r="M59" s="222">
        <f t="shared" si="14"/>
        <v>0</v>
      </c>
      <c r="N59" s="222">
        <f t="shared" si="14"/>
        <v>0</v>
      </c>
      <c r="O59" s="222">
        <f t="shared" si="14"/>
        <v>0</v>
      </c>
      <c r="P59" s="222">
        <f t="shared" si="14"/>
        <v>0</v>
      </c>
      <c r="Q59" s="222">
        <f t="shared" si="14"/>
        <v>0</v>
      </c>
      <c r="R59" s="222">
        <f t="shared" si="14"/>
        <v>0</v>
      </c>
      <c r="S59" s="222">
        <f t="shared" si="14"/>
        <v>0</v>
      </c>
    </row>
    <row r="60" spans="1:20" x14ac:dyDescent="0.25">
      <c r="G60" s="102" t="s">
        <v>86</v>
      </c>
      <c r="H60" s="222">
        <f>H118</f>
        <v>0</v>
      </c>
      <c r="I60" s="222">
        <f t="shared" ref="I60:S60" si="15">I118</f>
        <v>0</v>
      </c>
      <c r="J60" s="222">
        <f t="shared" si="15"/>
        <v>0</v>
      </c>
      <c r="K60" s="222">
        <f t="shared" si="15"/>
        <v>0</v>
      </c>
      <c r="L60" s="222">
        <f t="shared" si="15"/>
        <v>0</v>
      </c>
      <c r="M60" s="222">
        <f t="shared" si="15"/>
        <v>0</v>
      </c>
      <c r="N60" s="222">
        <f t="shared" si="15"/>
        <v>0</v>
      </c>
      <c r="O60" s="222">
        <f t="shared" si="15"/>
        <v>0</v>
      </c>
      <c r="P60" s="222">
        <f t="shared" si="15"/>
        <v>0</v>
      </c>
      <c r="Q60" s="222">
        <f t="shared" si="15"/>
        <v>0</v>
      </c>
      <c r="R60" s="222">
        <f t="shared" si="15"/>
        <v>0</v>
      </c>
      <c r="S60" s="222">
        <f t="shared" si="15"/>
        <v>0</v>
      </c>
    </row>
    <row r="61" spans="1:20" x14ac:dyDescent="0.25">
      <c r="G61" s="102" t="s">
        <v>87</v>
      </c>
      <c r="H61" s="222">
        <f>H123</f>
        <v>0</v>
      </c>
      <c r="I61" s="222">
        <f t="shared" ref="I61:S61" si="16">I123</f>
        <v>0</v>
      </c>
      <c r="J61" s="222">
        <f t="shared" si="16"/>
        <v>0</v>
      </c>
      <c r="K61" s="222">
        <f t="shared" si="16"/>
        <v>0</v>
      </c>
      <c r="L61" s="222">
        <f t="shared" si="16"/>
        <v>0</v>
      </c>
      <c r="M61" s="222">
        <f t="shared" si="16"/>
        <v>0</v>
      </c>
      <c r="N61" s="222">
        <f t="shared" si="16"/>
        <v>0</v>
      </c>
      <c r="O61" s="222">
        <f t="shared" si="16"/>
        <v>0</v>
      </c>
      <c r="P61" s="222">
        <f t="shared" si="16"/>
        <v>0</v>
      </c>
      <c r="Q61" s="222">
        <f t="shared" si="16"/>
        <v>0</v>
      </c>
      <c r="R61" s="222">
        <f t="shared" si="16"/>
        <v>0</v>
      </c>
      <c r="S61" s="222">
        <f t="shared" si="16"/>
        <v>0</v>
      </c>
    </row>
    <row r="62" spans="1:20" x14ac:dyDescent="0.25">
      <c r="G62" s="215"/>
    </row>
    <row r="63" spans="1:20" x14ac:dyDescent="0.25">
      <c r="I63" s="118"/>
      <c r="J63" s="118"/>
      <c r="K63" s="118"/>
      <c r="L63" s="118"/>
      <c r="M63" s="118"/>
      <c r="N63" s="118"/>
    </row>
    <row r="64" spans="1:20" x14ac:dyDescent="0.25">
      <c r="G64" s="119"/>
      <c r="H64" s="353"/>
      <c r="I64" s="223"/>
      <c r="J64" s="223"/>
      <c r="K64" s="223"/>
      <c r="L64" s="223"/>
      <c r="M64" s="223"/>
      <c r="N64" s="223"/>
      <c r="O64" s="118"/>
    </row>
    <row r="65" spans="1:15" x14ac:dyDescent="0.25">
      <c r="G65" s="119"/>
      <c r="H65" s="353"/>
      <c r="I65" s="223"/>
      <c r="J65" s="223"/>
      <c r="K65" s="223"/>
      <c r="L65" s="223"/>
      <c r="M65" s="223"/>
      <c r="N65" s="223"/>
      <c r="O65" s="118"/>
    </row>
    <row r="66" spans="1:15" x14ac:dyDescent="0.25">
      <c r="G66" s="119"/>
      <c r="H66" s="353"/>
      <c r="I66" s="223"/>
      <c r="J66" s="223"/>
      <c r="K66" s="223"/>
      <c r="L66" s="223"/>
      <c r="M66" s="223"/>
      <c r="N66" s="223"/>
      <c r="O66" s="118"/>
    </row>
    <row r="67" spans="1:15" x14ac:dyDescent="0.25">
      <c r="G67" s="119"/>
      <c r="H67" s="353"/>
      <c r="I67" s="223"/>
      <c r="J67" s="223"/>
      <c r="K67" s="223"/>
      <c r="L67" s="223"/>
      <c r="M67" s="223"/>
      <c r="N67" s="223"/>
      <c r="O67" s="118"/>
    </row>
    <row r="68" spans="1:15" x14ac:dyDescent="0.25">
      <c r="G68" s="119"/>
      <c r="H68" s="353"/>
      <c r="I68" s="223"/>
      <c r="J68" s="223"/>
      <c r="K68" s="223"/>
      <c r="L68" s="223"/>
      <c r="M68" s="223"/>
      <c r="N68" s="223"/>
      <c r="O68" s="118"/>
    </row>
    <row r="69" spans="1:15" x14ac:dyDescent="0.25">
      <c r="G69" s="119"/>
      <c r="H69" s="353"/>
      <c r="I69" s="223"/>
      <c r="J69" s="223"/>
      <c r="K69" s="223"/>
      <c r="L69" s="223"/>
      <c r="M69" s="223"/>
      <c r="N69" s="223"/>
      <c r="O69" s="118"/>
    </row>
    <row r="70" spans="1:15" x14ac:dyDescent="0.25">
      <c r="G70" s="119"/>
      <c r="H70" s="197"/>
      <c r="I70" s="223"/>
      <c r="J70" s="223"/>
      <c r="K70" s="223"/>
      <c r="L70" s="223"/>
      <c r="M70" s="223"/>
      <c r="N70" s="223"/>
      <c r="O70" s="118"/>
    </row>
    <row r="71" spans="1:15" x14ac:dyDescent="0.25">
      <c r="G71" s="119"/>
      <c r="H71" s="197"/>
      <c r="I71" s="223"/>
      <c r="J71" s="223"/>
      <c r="K71" s="223"/>
      <c r="L71" s="223"/>
      <c r="M71" s="223"/>
      <c r="N71" s="223"/>
      <c r="O71" s="118"/>
    </row>
    <row r="72" spans="1:15" x14ac:dyDescent="0.25">
      <c r="G72" s="119"/>
      <c r="H72" s="197"/>
      <c r="I72" s="223"/>
      <c r="J72" s="223"/>
      <c r="K72" s="223"/>
      <c r="L72" s="223"/>
      <c r="M72" s="223"/>
      <c r="N72" s="223"/>
      <c r="O72" s="118"/>
    </row>
    <row r="73" spans="1:15" x14ac:dyDescent="0.25">
      <c r="G73" s="119"/>
      <c r="H73" s="197"/>
      <c r="I73" s="223"/>
      <c r="J73" s="223"/>
      <c r="K73" s="223"/>
      <c r="L73" s="223"/>
      <c r="M73" s="223"/>
      <c r="N73" s="223"/>
      <c r="O73" s="118"/>
    </row>
    <row r="74" spans="1:15" x14ac:dyDescent="0.25">
      <c r="G74" s="119"/>
      <c r="H74" s="197"/>
      <c r="I74" s="223"/>
      <c r="J74" s="223"/>
      <c r="K74" s="223"/>
      <c r="L74" s="223"/>
      <c r="M74" s="223"/>
      <c r="N74" s="223"/>
      <c r="O74" s="118"/>
    </row>
    <row r="75" spans="1:15" x14ac:dyDescent="0.25">
      <c r="G75" s="119"/>
      <c r="H75" s="197"/>
      <c r="I75" s="223"/>
      <c r="J75" s="223"/>
      <c r="K75" s="223"/>
      <c r="L75" s="223"/>
      <c r="M75" s="223"/>
      <c r="N75" s="223"/>
      <c r="O75" s="118"/>
    </row>
    <row r="76" spans="1:15" x14ac:dyDescent="0.25">
      <c r="G76" s="119"/>
      <c r="H76" s="197"/>
      <c r="I76" s="223"/>
      <c r="J76" s="223"/>
      <c r="K76" s="223"/>
      <c r="L76" s="223"/>
      <c r="M76" s="223"/>
      <c r="N76" s="223"/>
      <c r="O76" s="118"/>
    </row>
    <row r="77" spans="1:15" x14ac:dyDescent="0.25">
      <c r="G77" s="119"/>
      <c r="H77" s="197"/>
      <c r="I77" s="223"/>
      <c r="J77" s="223"/>
      <c r="K77" s="223"/>
      <c r="L77" s="223"/>
      <c r="M77" s="223"/>
      <c r="N77" s="223"/>
      <c r="O77" s="118"/>
    </row>
    <row r="78" spans="1:15" x14ac:dyDescent="0.25">
      <c r="G78" s="119"/>
      <c r="H78" s="197"/>
      <c r="I78" s="223"/>
      <c r="J78" s="223"/>
      <c r="K78" s="223"/>
      <c r="L78" s="223"/>
      <c r="M78" s="223"/>
      <c r="N78" s="223"/>
      <c r="O78" s="118"/>
    </row>
    <row r="79" spans="1:15" x14ac:dyDescent="0.25">
      <c r="G79" s="119"/>
      <c r="H79" s="197"/>
      <c r="I79" s="223"/>
      <c r="J79" s="223"/>
      <c r="K79" s="223"/>
      <c r="L79" s="223"/>
      <c r="M79" s="223"/>
      <c r="N79" s="223"/>
      <c r="O79" s="118"/>
    </row>
    <row r="80" spans="1:15" x14ac:dyDescent="0.25">
      <c r="A80" s="102"/>
      <c r="B80" s="210"/>
      <c r="G80" s="119"/>
      <c r="H80" s="197"/>
      <c r="I80" s="223"/>
      <c r="J80" s="223"/>
      <c r="K80" s="223"/>
      <c r="L80" s="223"/>
      <c r="M80" s="223"/>
      <c r="N80" s="223"/>
      <c r="O80" s="118"/>
    </row>
    <row r="81" spans="1:19" x14ac:dyDescent="0.25">
      <c r="A81" s="102"/>
      <c r="B81" s="210"/>
      <c r="G81" s="119"/>
      <c r="H81" s="197"/>
      <c r="I81" s="223"/>
      <c r="J81" s="223"/>
      <c r="K81" s="223"/>
      <c r="L81" s="223"/>
      <c r="M81" s="223"/>
      <c r="N81" s="223"/>
      <c r="O81" s="118"/>
    </row>
    <row r="82" spans="1:19" x14ac:dyDescent="0.25">
      <c r="A82" s="102"/>
      <c r="B82" s="210"/>
      <c r="G82" s="119"/>
      <c r="H82" s="197"/>
      <c r="I82" s="223"/>
      <c r="J82" s="223"/>
      <c r="K82" s="223"/>
      <c r="L82" s="223"/>
      <c r="M82" s="223"/>
      <c r="N82" s="223"/>
      <c r="O82" s="118"/>
    </row>
    <row r="83" spans="1:19" x14ac:dyDescent="0.25">
      <c r="A83" s="102"/>
      <c r="B83" s="210"/>
      <c r="G83" s="119"/>
      <c r="H83" s="197"/>
      <c r="I83" s="223"/>
      <c r="J83" s="223"/>
      <c r="K83" s="223"/>
      <c r="L83" s="223"/>
      <c r="M83" s="223"/>
      <c r="N83" s="223"/>
      <c r="O83" s="118"/>
    </row>
    <row r="84" spans="1:19" x14ac:dyDescent="0.25">
      <c r="A84" s="102"/>
      <c r="B84" s="210"/>
      <c r="G84" s="119"/>
      <c r="H84" s="197"/>
      <c r="I84" s="223"/>
      <c r="J84" s="223"/>
      <c r="K84" s="223"/>
      <c r="L84" s="223"/>
      <c r="M84" s="223"/>
      <c r="N84" s="223"/>
      <c r="O84" s="118"/>
    </row>
    <row r="85" spans="1:19" x14ac:dyDescent="0.25">
      <c r="A85" s="102"/>
      <c r="B85" s="210"/>
      <c r="G85" s="119"/>
      <c r="H85" s="197"/>
      <c r="I85" s="223"/>
      <c r="J85" s="223"/>
      <c r="K85" s="223"/>
      <c r="L85" s="223"/>
      <c r="M85" s="223"/>
      <c r="N85" s="223"/>
      <c r="O85" s="118"/>
    </row>
    <row r="86" spans="1:19" x14ac:dyDescent="0.25">
      <c r="A86" s="102"/>
      <c r="B86" s="210"/>
      <c r="G86" s="119"/>
      <c r="H86" s="197"/>
      <c r="I86" s="223"/>
      <c r="J86" s="223"/>
      <c r="K86" s="223"/>
      <c r="L86" s="223"/>
      <c r="M86" s="223"/>
      <c r="N86" s="223"/>
      <c r="O86" s="118"/>
    </row>
    <row r="87" spans="1:19" x14ac:dyDescent="0.25">
      <c r="A87" s="102"/>
      <c r="B87" s="210"/>
      <c r="G87" s="119"/>
      <c r="H87" s="197"/>
      <c r="I87" s="223"/>
      <c r="J87" s="223"/>
      <c r="K87" s="223"/>
      <c r="L87" s="223"/>
      <c r="M87" s="223"/>
      <c r="N87" s="223"/>
      <c r="O87" s="118"/>
    </row>
    <row r="88" spans="1:19" x14ac:dyDescent="0.25">
      <c r="A88" s="102"/>
      <c r="B88" s="210"/>
      <c r="G88" s="119"/>
      <c r="H88" s="197"/>
      <c r="I88" s="223"/>
      <c r="J88" s="223"/>
      <c r="K88" s="223"/>
      <c r="L88" s="223"/>
      <c r="M88" s="223"/>
      <c r="N88" s="223"/>
      <c r="O88" s="118"/>
    </row>
    <row r="89" spans="1:19" x14ac:dyDescent="0.25">
      <c r="A89" s="102"/>
      <c r="B89" s="210"/>
      <c r="G89" s="119"/>
      <c r="H89" s="197"/>
      <c r="I89" s="223"/>
      <c r="J89" s="223"/>
      <c r="K89" s="223"/>
      <c r="L89" s="223"/>
      <c r="M89" s="223"/>
      <c r="N89" s="223"/>
      <c r="O89" s="118"/>
    </row>
    <row r="90" spans="1:19" x14ac:dyDescent="0.25">
      <c r="A90" s="102"/>
      <c r="B90" s="210"/>
      <c r="G90" s="119"/>
      <c r="H90" s="197"/>
      <c r="I90" s="223"/>
      <c r="J90" s="223"/>
      <c r="K90" s="223"/>
      <c r="L90" s="223"/>
      <c r="M90" s="223"/>
      <c r="N90" s="223"/>
      <c r="O90" s="118"/>
    </row>
    <row r="91" spans="1:19" x14ac:dyDescent="0.25">
      <c r="A91" s="102"/>
      <c r="B91" s="210"/>
    </row>
    <row r="92" spans="1:19" x14ac:dyDescent="0.25">
      <c r="A92" s="102"/>
      <c r="B92" s="210"/>
    </row>
    <row r="93" spans="1:19" x14ac:dyDescent="0.25">
      <c r="A93" s="102"/>
      <c r="B93" s="210"/>
    </row>
    <row r="94" spans="1:19" x14ac:dyDescent="0.25">
      <c r="A94" s="102"/>
      <c r="B94" s="210"/>
      <c r="G94" s="224" t="s">
        <v>259</v>
      </c>
    </row>
    <row r="95" spans="1:19" x14ac:dyDescent="0.25">
      <c r="A95" s="102"/>
      <c r="B95" s="210"/>
      <c r="G95" s="212"/>
      <c r="H95" s="150" t="s">
        <v>260</v>
      </c>
    </row>
    <row r="96" spans="1:19" x14ac:dyDescent="0.25">
      <c r="A96" s="102"/>
      <c r="B96" s="210"/>
      <c r="G96" s="150"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0"/>
      <c r="G97" s="150"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10"/>
      <c r="G98" s="81" t="s">
        <v>256</v>
      </c>
      <c r="H98" s="225">
        <f>IF(MIN(H96,H97)&gt;1,0,MIN(H96,H97))</f>
        <v>9.9999998000000053E-5</v>
      </c>
      <c r="I98" s="225">
        <f t="shared" ref="I98:S98" si="19">IF(MIN(I96,I97)&gt;1,0,MIN(I96,I97))</f>
        <v>9.9999998000000053E-5</v>
      </c>
      <c r="J98" s="225">
        <f t="shared" si="19"/>
        <v>1.0000000200000004E-4</v>
      </c>
      <c r="K98" s="225">
        <f t="shared" si="19"/>
        <v>1.0000000200000004E-4</v>
      </c>
      <c r="L98" s="225">
        <f t="shared" si="19"/>
        <v>0</v>
      </c>
      <c r="M98" s="225">
        <f t="shared" si="19"/>
        <v>0</v>
      </c>
      <c r="N98" s="225">
        <f t="shared" si="19"/>
        <v>0</v>
      </c>
      <c r="O98" s="225">
        <f t="shared" si="19"/>
        <v>0</v>
      </c>
      <c r="P98" s="225">
        <f t="shared" si="19"/>
        <v>0</v>
      </c>
      <c r="Q98" s="225">
        <f t="shared" si="19"/>
        <v>0</v>
      </c>
      <c r="R98" s="225">
        <f t="shared" si="19"/>
        <v>0</v>
      </c>
      <c r="S98" s="225">
        <f t="shared" si="19"/>
        <v>0</v>
      </c>
    </row>
    <row r="99" spans="1:19" x14ac:dyDescent="0.25">
      <c r="A99" s="102"/>
      <c r="B99" s="210"/>
      <c r="H99" s="150" t="s">
        <v>261</v>
      </c>
      <c r="I99" s="150"/>
      <c r="J99" s="150"/>
      <c r="K99" s="150"/>
      <c r="L99" s="150"/>
      <c r="M99" s="150"/>
      <c r="N99" s="150"/>
      <c r="O99" s="150"/>
      <c r="P99" s="150"/>
      <c r="Q99" s="150"/>
      <c r="R99" s="150"/>
      <c r="S99" s="150"/>
    </row>
    <row r="100" spans="1:19" x14ac:dyDescent="0.25">
      <c r="A100" s="102"/>
      <c r="B100" s="210"/>
      <c r="G100" s="115" t="s">
        <v>258</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x14ac:dyDescent="0.25">
      <c r="A101" s="102"/>
      <c r="B101" s="210"/>
      <c r="G101" s="115" t="s">
        <v>258</v>
      </c>
      <c r="H101" s="226">
        <f t="shared" ref="H101:S101" si="21">H47/ABS(H33+0.000001)</f>
        <v>9.9999998000000053E-5</v>
      </c>
      <c r="I101" s="226">
        <f t="shared" si="21"/>
        <v>9.9999998000000053E-5</v>
      </c>
      <c r="J101" s="226">
        <f t="shared" si="21"/>
        <v>1.0000000200000004E-4</v>
      </c>
      <c r="K101" s="226">
        <f t="shared" si="21"/>
        <v>1.0000000200000004E-4</v>
      </c>
      <c r="L101" s="226">
        <f t="shared" si="21"/>
        <v>0</v>
      </c>
      <c r="M101" s="226">
        <f t="shared" si="21"/>
        <v>0</v>
      </c>
      <c r="N101" s="226">
        <f t="shared" si="21"/>
        <v>0</v>
      </c>
      <c r="O101" s="226">
        <f t="shared" si="21"/>
        <v>0</v>
      </c>
      <c r="P101" s="226">
        <f t="shared" si="21"/>
        <v>0</v>
      </c>
      <c r="Q101" s="226">
        <f t="shared" si="21"/>
        <v>0</v>
      </c>
      <c r="R101" s="226">
        <f t="shared" si="21"/>
        <v>0</v>
      </c>
      <c r="S101" s="226">
        <f t="shared" si="21"/>
        <v>0</v>
      </c>
    </row>
    <row r="102" spans="1:19" x14ac:dyDescent="0.25">
      <c r="A102" s="102"/>
      <c r="B102" s="210"/>
      <c r="G102" s="81" t="s">
        <v>256</v>
      </c>
      <c r="H102" s="225">
        <f>IF(MIN(H100,H101)&gt;1,0,MIN(H100,H101))</f>
        <v>9.9999998000000053E-5</v>
      </c>
      <c r="I102" s="225">
        <f t="shared" ref="I102:S102" si="22">IF(MIN(I100,I101)&gt;1,0,MIN(I100,I101))</f>
        <v>9.9999998000000053E-5</v>
      </c>
      <c r="J102" s="225">
        <f t="shared" si="22"/>
        <v>1.0000000200000004E-4</v>
      </c>
      <c r="K102" s="225">
        <f t="shared" si="22"/>
        <v>9.9999998000000053E-5</v>
      </c>
      <c r="L102" s="225">
        <f t="shared" si="22"/>
        <v>0</v>
      </c>
      <c r="M102" s="225">
        <f t="shared" si="22"/>
        <v>0</v>
      </c>
      <c r="N102" s="225">
        <f t="shared" si="22"/>
        <v>0</v>
      </c>
      <c r="O102" s="225">
        <f t="shared" si="22"/>
        <v>0</v>
      </c>
      <c r="P102" s="225">
        <f t="shared" si="22"/>
        <v>0</v>
      </c>
      <c r="Q102" s="225">
        <f t="shared" si="22"/>
        <v>0</v>
      </c>
      <c r="R102" s="225">
        <f t="shared" si="22"/>
        <v>0</v>
      </c>
      <c r="S102" s="225">
        <f t="shared" si="22"/>
        <v>0</v>
      </c>
    </row>
    <row r="103" spans="1:19" x14ac:dyDescent="0.25">
      <c r="A103" s="102"/>
      <c r="B103" s="210"/>
      <c r="H103" s="81" t="s">
        <v>262</v>
      </c>
    </row>
    <row r="104" spans="1:19" x14ac:dyDescent="0.25">
      <c r="A104" s="102"/>
      <c r="B104" s="210"/>
      <c r="G104" s="150"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10"/>
      <c r="G105" s="150"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10"/>
      <c r="G106" s="81" t="s">
        <v>256</v>
      </c>
      <c r="H106" s="225">
        <f>IF(MIN(H104,H105)&gt;1,0,MIN(H104,H105))</f>
        <v>9.9999998000000053E-5</v>
      </c>
      <c r="I106" s="225">
        <f t="shared" ref="I106:S106" si="25">IF(MIN(I104,I105)&gt;1,0,MIN(I104,I105))</f>
        <v>1.0000000200000004E-4</v>
      </c>
      <c r="J106" s="225">
        <f t="shared" si="25"/>
        <v>1.0000000200000004E-4</v>
      </c>
      <c r="K106" s="225">
        <f t="shared" si="25"/>
        <v>9.9999998000000053E-5</v>
      </c>
      <c r="L106" s="225">
        <f t="shared" si="25"/>
        <v>0</v>
      </c>
      <c r="M106" s="225">
        <f t="shared" si="25"/>
        <v>0</v>
      </c>
      <c r="N106" s="225">
        <f t="shared" si="25"/>
        <v>0</v>
      </c>
      <c r="O106" s="225">
        <f t="shared" si="25"/>
        <v>0</v>
      </c>
      <c r="P106" s="225">
        <f t="shared" si="25"/>
        <v>0</v>
      </c>
      <c r="Q106" s="225">
        <f t="shared" si="25"/>
        <v>0</v>
      </c>
      <c r="R106" s="225">
        <f t="shared" si="25"/>
        <v>0</v>
      </c>
      <c r="S106" s="225">
        <f t="shared" si="25"/>
        <v>0</v>
      </c>
    </row>
    <row r="107" spans="1:19" x14ac:dyDescent="0.25">
      <c r="A107" s="102"/>
      <c r="B107" s="210"/>
    </row>
    <row r="108" spans="1:19" x14ac:dyDescent="0.25">
      <c r="A108" s="102"/>
      <c r="B108" s="210"/>
      <c r="G108" s="224" t="s">
        <v>308</v>
      </c>
      <c r="H108" s="224"/>
      <c r="I108" s="224"/>
      <c r="J108" s="224"/>
      <c r="K108" s="224"/>
      <c r="L108" s="224"/>
      <c r="M108" s="224"/>
      <c r="N108" s="224"/>
      <c r="O108" s="224"/>
      <c r="P108" s="224"/>
    </row>
    <row r="109" spans="1:19" x14ac:dyDescent="0.25">
      <c r="A109" s="102"/>
      <c r="B109" s="210"/>
      <c r="H109" s="102" t="s">
        <v>253</v>
      </c>
      <c r="I109" s="102"/>
      <c r="J109" s="102"/>
      <c r="K109" s="102"/>
      <c r="L109" s="102"/>
      <c r="M109" s="102"/>
      <c r="N109" s="102"/>
      <c r="O109" s="102"/>
      <c r="P109" s="102"/>
      <c r="Q109" s="102"/>
      <c r="R109" s="102"/>
      <c r="S109" s="102"/>
    </row>
    <row r="110" spans="1:19" x14ac:dyDescent="0.25">
      <c r="G110" s="150" t="s">
        <v>258</v>
      </c>
      <c r="H110" s="225">
        <f t="shared" ref="H110:S110" si="26">H56/(H33+0.000001)</f>
        <v>0</v>
      </c>
      <c r="I110" s="225">
        <f t="shared" si="26"/>
        <v>0</v>
      </c>
      <c r="J110" s="225">
        <f t="shared" si="26"/>
        <v>0</v>
      </c>
      <c r="K110" s="225">
        <f t="shared" si="26"/>
        <v>0</v>
      </c>
      <c r="L110" s="225">
        <f t="shared" si="26"/>
        <v>0</v>
      </c>
      <c r="M110" s="225">
        <f t="shared" si="26"/>
        <v>0</v>
      </c>
      <c r="N110" s="225">
        <f t="shared" si="26"/>
        <v>0</v>
      </c>
      <c r="O110" s="225">
        <f t="shared" si="26"/>
        <v>0</v>
      </c>
      <c r="P110" s="225">
        <f t="shared" si="26"/>
        <v>0</v>
      </c>
      <c r="Q110" s="225">
        <f t="shared" si="26"/>
        <v>0</v>
      </c>
      <c r="R110" s="225">
        <f t="shared" si="26"/>
        <v>0</v>
      </c>
      <c r="S110" s="225">
        <f t="shared" si="26"/>
        <v>0</v>
      </c>
    </row>
    <row r="111" spans="1:19" x14ac:dyDescent="0.25">
      <c r="G111" s="150" t="s">
        <v>258</v>
      </c>
      <c r="H111" s="227">
        <f t="shared" ref="H111:S111" si="27">H57/(H32+0.000001)</f>
        <v>0</v>
      </c>
      <c r="I111" s="227">
        <f t="shared" si="27"/>
        <v>0</v>
      </c>
      <c r="J111" s="227">
        <f t="shared" si="27"/>
        <v>0</v>
      </c>
      <c r="K111" s="227">
        <f t="shared" si="27"/>
        <v>0</v>
      </c>
      <c r="L111" s="227">
        <f t="shared" si="27"/>
        <v>0</v>
      </c>
      <c r="M111" s="227">
        <f t="shared" si="27"/>
        <v>0</v>
      </c>
      <c r="N111" s="227">
        <f t="shared" si="27"/>
        <v>0</v>
      </c>
      <c r="O111" s="227">
        <f t="shared" si="27"/>
        <v>0</v>
      </c>
      <c r="P111" s="227">
        <f t="shared" si="27"/>
        <v>0</v>
      </c>
      <c r="Q111" s="227">
        <f t="shared" si="27"/>
        <v>0</v>
      </c>
      <c r="R111" s="227">
        <f t="shared" si="27"/>
        <v>0</v>
      </c>
      <c r="S111" s="227">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5">
        <f>IF(H112*MIN(ABS(H110),ABS(H111))&gt;1,0,H112*MIN(ABS(H110),ABS(H111)))</f>
        <v>0</v>
      </c>
      <c r="I113" s="225">
        <f t="shared" ref="I113:S113" si="29">IF(I112*MIN(ABS(I110),ABS(I111))&gt;1,0,I112*MIN(ABS(I110),ABS(I111)))</f>
        <v>0</v>
      </c>
      <c r="J113" s="225">
        <f t="shared" si="29"/>
        <v>0</v>
      </c>
      <c r="K113" s="225">
        <f t="shared" si="29"/>
        <v>0</v>
      </c>
      <c r="L113" s="225">
        <f t="shared" si="29"/>
        <v>0</v>
      </c>
      <c r="M113" s="225">
        <f t="shared" si="29"/>
        <v>0</v>
      </c>
      <c r="N113" s="225">
        <f t="shared" si="29"/>
        <v>0</v>
      </c>
      <c r="O113" s="225">
        <f t="shared" si="29"/>
        <v>0</v>
      </c>
      <c r="P113" s="225">
        <f t="shared" si="29"/>
        <v>0</v>
      </c>
      <c r="Q113" s="225">
        <f t="shared" si="29"/>
        <v>0</v>
      </c>
      <c r="R113" s="225">
        <f t="shared" si="29"/>
        <v>0</v>
      </c>
      <c r="S113" s="225">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15" t="s">
        <v>258</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x14ac:dyDescent="0.25">
      <c r="G117" s="155" t="s">
        <v>257</v>
      </c>
      <c r="H117" s="228">
        <f>SIGN(H115+0.000000000001)*SIGN(H116+0.000000000001)</f>
        <v>1</v>
      </c>
      <c r="I117" s="228">
        <f t="shared" ref="I117:S117" si="32">SIGN(I115+0.000000000001)*SIGN(I116+0.000000000001)</f>
        <v>1</v>
      </c>
      <c r="J117" s="228">
        <f t="shared" si="32"/>
        <v>1</v>
      </c>
      <c r="K117" s="228">
        <f t="shared" si="32"/>
        <v>1</v>
      </c>
      <c r="L117" s="228">
        <f t="shared" si="32"/>
        <v>1</v>
      </c>
      <c r="M117" s="228">
        <f t="shared" si="32"/>
        <v>1</v>
      </c>
      <c r="N117" s="228">
        <f t="shared" si="32"/>
        <v>1</v>
      </c>
      <c r="O117" s="228">
        <f t="shared" si="32"/>
        <v>1</v>
      </c>
      <c r="P117" s="228">
        <f t="shared" si="32"/>
        <v>1</v>
      </c>
      <c r="Q117" s="228">
        <f t="shared" si="32"/>
        <v>1</v>
      </c>
      <c r="R117" s="228">
        <f t="shared" si="32"/>
        <v>1</v>
      </c>
      <c r="S117" s="228">
        <f t="shared" si="32"/>
        <v>1</v>
      </c>
    </row>
    <row r="118" spans="7:19" x14ac:dyDescent="0.25">
      <c r="G118" s="155" t="s">
        <v>256</v>
      </c>
      <c r="H118" s="229">
        <f>IF(H117*MIN(ABS(H115),ABS(H116))&gt;1,0,H117*MIN(ABS(H115),ABS(H116)))</f>
        <v>0</v>
      </c>
      <c r="I118" s="229">
        <f t="shared" ref="I118:S118" si="33">IF(I117*MIN(ABS(I115),ABS(I116))&gt;1,0,I117*MIN(ABS(I115),ABS(I116)))</f>
        <v>0</v>
      </c>
      <c r="J118" s="229">
        <f t="shared" si="33"/>
        <v>0</v>
      </c>
      <c r="K118" s="229">
        <f t="shared" si="33"/>
        <v>0</v>
      </c>
      <c r="L118" s="229">
        <f t="shared" si="33"/>
        <v>0</v>
      </c>
      <c r="M118" s="229">
        <f t="shared" si="33"/>
        <v>0</v>
      </c>
      <c r="N118" s="229">
        <f t="shared" si="33"/>
        <v>0</v>
      </c>
      <c r="O118" s="229">
        <f t="shared" si="33"/>
        <v>0</v>
      </c>
      <c r="P118" s="229">
        <f t="shared" si="33"/>
        <v>0</v>
      </c>
      <c r="Q118" s="229">
        <f t="shared" si="33"/>
        <v>0</v>
      </c>
      <c r="R118" s="229">
        <f t="shared" si="33"/>
        <v>0</v>
      </c>
      <c r="S118" s="229">
        <f t="shared" si="33"/>
        <v>0</v>
      </c>
    </row>
    <row r="119" spans="7:19" x14ac:dyDescent="0.25">
      <c r="H119" s="102" t="s">
        <v>255</v>
      </c>
      <c r="I119" s="102"/>
      <c r="J119" s="102"/>
      <c r="K119" s="102"/>
      <c r="L119" s="102"/>
      <c r="M119" s="102"/>
      <c r="N119" s="102"/>
      <c r="O119" s="102"/>
      <c r="P119" s="102"/>
      <c r="Q119" s="102"/>
      <c r="R119" s="102"/>
      <c r="S119" s="102"/>
    </row>
    <row r="120" spans="7:19" x14ac:dyDescent="0.25">
      <c r="G120" s="150" t="s">
        <v>258</v>
      </c>
      <c r="H120" s="225">
        <f t="shared" ref="H120:S120" si="34">H56/(H31+0.000001)</f>
        <v>0</v>
      </c>
      <c r="I120" s="225">
        <f t="shared" si="34"/>
        <v>0</v>
      </c>
      <c r="J120" s="225">
        <f t="shared" si="34"/>
        <v>0</v>
      </c>
      <c r="K120" s="225">
        <f t="shared" si="34"/>
        <v>0</v>
      </c>
      <c r="L120" s="225">
        <f t="shared" si="34"/>
        <v>0</v>
      </c>
      <c r="M120" s="225">
        <f t="shared" si="34"/>
        <v>0</v>
      </c>
      <c r="N120" s="225">
        <f t="shared" si="34"/>
        <v>0</v>
      </c>
      <c r="O120" s="225">
        <f t="shared" si="34"/>
        <v>0</v>
      </c>
      <c r="P120" s="225">
        <f t="shared" si="34"/>
        <v>0</v>
      </c>
      <c r="Q120" s="225">
        <f t="shared" si="34"/>
        <v>0</v>
      </c>
      <c r="R120" s="225">
        <f t="shared" si="34"/>
        <v>0</v>
      </c>
      <c r="S120" s="225">
        <f t="shared" si="34"/>
        <v>0</v>
      </c>
    </row>
    <row r="121" spans="7:19" x14ac:dyDescent="0.25">
      <c r="G121" s="150"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5">
        <f>IF(H122*MIN(ABS(H120),ABS(H121))&gt;1,0,H122*MIN(ABS(H120),ABS(H121)))</f>
        <v>0</v>
      </c>
      <c r="I123" s="225">
        <f t="shared" ref="I123:S123" si="37">IF(I122*MIN(ABS(I120),ABS(I121))&gt;1,0,I122*MIN(ABS(I120),ABS(I121)))</f>
        <v>0</v>
      </c>
      <c r="J123" s="225">
        <f t="shared" si="37"/>
        <v>0</v>
      </c>
      <c r="K123" s="225">
        <f t="shared" si="37"/>
        <v>0</v>
      </c>
      <c r="L123" s="225">
        <f t="shared" si="37"/>
        <v>0</v>
      </c>
      <c r="M123" s="225">
        <f t="shared" si="37"/>
        <v>0</v>
      </c>
      <c r="N123" s="225">
        <f t="shared" si="37"/>
        <v>0</v>
      </c>
      <c r="O123" s="225">
        <f t="shared" si="37"/>
        <v>0</v>
      </c>
      <c r="P123" s="225">
        <f t="shared" si="37"/>
        <v>0</v>
      </c>
      <c r="Q123" s="225">
        <f t="shared" si="37"/>
        <v>0</v>
      </c>
      <c r="R123" s="225">
        <f t="shared" si="37"/>
        <v>0</v>
      </c>
      <c r="S123" s="225">
        <f t="shared" si="37"/>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5"/>
      <c r="I126" s="225"/>
      <c r="J126" s="225"/>
      <c r="K126" s="225"/>
      <c r="L126" s="225"/>
      <c r="M126" s="225"/>
      <c r="N126" s="225"/>
      <c r="O126" s="225"/>
      <c r="P126" s="225"/>
      <c r="Q126" s="225"/>
      <c r="R126" s="225"/>
      <c r="S126" s="225"/>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G15" sqref="G15"/>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6" t="str">
        <f>'CSs and Loads'!A309</f>
        <v>CS 10</v>
      </c>
      <c r="B1" s="206" t="str">
        <f>'CSs and Loads'!A319</f>
        <v>Thing 10</v>
      </c>
    </row>
    <row r="2" spans="1:18" ht="16.5" thickBot="1" x14ac:dyDescent="0.3">
      <c r="A2" s="82" t="s">
        <v>132</v>
      </c>
      <c r="E2" s="177"/>
      <c r="F2" s="177"/>
      <c r="G2" s="177"/>
      <c r="H2" s="177"/>
      <c r="I2" s="243"/>
      <c r="J2" s="177"/>
      <c r="K2" s="177"/>
      <c r="L2" s="244"/>
      <c r="M2" s="244"/>
      <c r="N2" s="208"/>
    </row>
    <row r="3" spans="1:18" x14ac:dyDescent="0.25">
      <c r="A3" s="209" t="s">
        <v>111</v>
      </c>
      <c r="D3" s="242"/>
      <c r="E3" s="368" t="s">
        <v>368</v>
      </c>
      <c r="F3" s="369"/>
      <c r="G3" s="369"/>
      <c r="H3" s="369"/>
      <c r="I3" s="369"/>
      <c r="J3" s="369"/>
      <c r="K3" s="369"/>
      <c r="L3" s="369"/>
      <c r="M3" s="370"/>
      <c r="N3" s="183"/>
      <c r="O3" s="210"/>
      <c r="P3" s="210"/>
      <c r="Q3" s="210"/>
      <c r="R3" s="210"/>
    </row>
    <row r="4" spans="1:18" x14ac:dyDescent="0.25">
      <c r="A4" s="209"/>
      <c r="C4" s="82" t="s">
        <v>365</v>
      </c>
      <c r="D4" s="170"/>
      <c r="E4" s="382" t="s">
        <v>367</v>
      </c>
      <c r="F4" s="383"/>
      <c r="G4" s="383"/>
      <c r="H4" s="383"/>
      <c r="I4" s="383"/>
      <c r="J4" s="383"/>
      <c r="K4" s="383"/>
      <c r="L4" s="383"/>
      <c r="M4" s="384"/>
      <c r="N4" s="183"/>
      <c r="O4" s="210"/>
      <c r="P4" s="210"/>
      <c r="Q4" s="210"/>
      <c r="R4" s="210"/>
    </row>
    <row r="5" spans="1:18" x14ac:dyDescent="0.25">
      <c r="A5" s="209"/>
      <c r="C5" s="102" t="s">
        <v>363</v>
      </c>
      <c r="D5" s="170">
        <v>25</v>
      </c>
      <c r="E5" s="184" t="s">
        <v>282</v>
      </c>
      <c r="F5" s="353" t="s">
        <v>285</v>
      </c>
      <c r="G5" s="148">
        <v>0</v>
      </c>
      <c r="H5" s="148">
        <v>0</v>
      </c>
      <c r="I5" s="148">
        <v>0</v>
      </c>
      <c r="J5" s="148">
        <v>0</v>
      </c>
      <c r="K5" s="148">
        <v>0</v>
      </c>
      <c r="L5" s="148">
        <v>0</v>
      </c>
      <c r="M5" s="185" t="s">
        <v>276</v>
      </c>
      <c r="N5" s="183"/>
      <c r="O5" s="210"/>
      <c r="P5" s="210"/>
      <c r="Q5" s="210"/>
      <c r="R5" s="210"/>
    </row>
    <row r="6" spans="1:18" x14ac:dyDescent="0.25">
      <c r="A6" s="209"/>
      <c r="C6" s="102" t="s">
        <v>32</v>
      </c>
      <c r="D6" s="170">
        <f>1770*9.8</f>
        <v>17346</v>
      </c>
      <c r="E6" s="184" t="s">
        <v>283</v>
      </c>
      <c r="F6" s="353"/>
      <c r="G6" s="148">
        <v>0</v>
      </c>
      <c r="H6" s="148">
        <v>0</v>
      </c>
      <c r="I6" s="148">
        <v>0</v>
      </c>
      <c r="J6" s="148">
        <v>0</v>
      </c>
      <c r="K6" s="148">
        <v>0</v>
      </c>
      <c r="L6" s="148">
        <v>0</v>
      </c>
      <c r="M6" s="185" t="s">
        <v>277</v>
      </c>
      <c r="N6" s="183"/>
      <c r="O6" s="210"/>
      <c r="P6" s="210"/>
      <c r="Q6" s="210"/>
      <c r="R6" s="210"/>
    </row>
    <row r="7" spans="1:18" x14ac:dyDescent="0.25">
      <c r="A7" s="209"/>
      <c r="C7" s="102" t="s">
        <v>242</v>
      </c>
      <c r="D7" s="170">
        <f>647*1000</f>
        <v>647000</v>
      </c>
      <c r="E7" s="184" t="s">
        <v>284</v>
      </c>
      <c r="F7" s="353"/>
      <c r="G7" s="148">
        <v>0</v>
      </c>
      <c r="H7" s="148">
        <v>0</v>
      </c>
      <c r="I7" s="148">
        <v>0</v>
      </c>
      <c r="J7" s="148">
        <v>0</v>
      </c>
      <c r="K7" s="148">
        <v>0</v>
      </c>
      <c r="L7" s="148">
        <v>0</v>
      </c>
      <c r="M7" s="185" t="s">
        <v>278</v>
      </c>
      <c r="N7" s="183"/>
      <c r="O7" s="210"/>
      <c r="P7" s="210"/>
      <c r="Q7" s="210"/>
      <c r="R7" s="210"/>
    </row>
    <row r="8" spans="1:18" x14ac:dyDescent="0.25">
      <c r="A8" s="209"/>
      <c r="C8" s="102" t="s">
        <v>33</v>
      </c>
      <c r="D8" s="170">
        <v>3</v>
      </c>
      <c r="E8" s="184" t="s">
        <v>273</v>
      </c>
      <c r="F8" s="353"/>
      <c r="G8" s="148">
        <v>0</v>
      </c>
      <c r="H8" s="148">
        <v>0</v>
      </c>
      <c r="I8" s="148">
        <v>0</v>
      </c>
      <c r="J8" s="148">
        <v>0</v>
      </c>
      <c r="K8" s="148">
        <v>0</v>
      </c>
      <c r="L8" s="148">
        <v>0</v>
      </c>
      <c r="M8" s="185" t="s">
        <v>279</v>
      </c>
      <c r="N8" s="183"/>
      <c r="O8" s="210"/>
      <c r="P8" s="210"/>
      <c r="Q8" s="210"/>
      <c r="R8" s="210"/>
    </row>
    <row r="9" spans="1:18" x14ac:dyDescent="0.25">
      <c r="A9" s="209"/>
      <c r="C9" s="102" t="s">
        <v>34</v>
      </c>
      <c r="D9" s="170">
        <v>0.01</v>
      </c>
      <c r="E9" s="184" t="s">
        <v>275</v>
      </c>
      <c r="F9" s="353"/>
      <c r="G9" s="148">
        <v>0</v>
      </c>
      <c r="H9" s="148">
        <v>0</v>
      </c>
      <c r="I9" s="148">
        <v>0</v>
      </c>
      <c r="J9" s="148">
        <v>0</v>
      </c>
      <c r="K9" s="148">
        <v>0</v>
      </c>
      <c r="L9" s="148">
        <v>0</v>
      </c>
      <c r="M9" s="185" t="s">
        <v>280</v>
      </c>
      <c r="N9" s="183"/>
      <c r="O9" s="210"/>
      <c r="P9" s="210"/>
      <c r="Q9" s="210"/>
      <c r="R9" s="210"/>
    </row>
    <row r="10" spans="1:18" ht="16.5" thickBot="1" x14ac:dyDescent="0.3">
      <c r="A10" s="209"/>
      <c r="C10" s="102" t="s">
        <v>288</v>
      </c>
      <c r="D10" s="238">
        <f>D6/(D8*D9)</f>
        <v>578200</v>
      </c>
      <c r="E10" s="186" t="s">
        <v>274</v>
      </c>
      <c r="F10" s="381"/>
      <c r="G10" s="190">
        <v>0</v>
      </c>
      <c r="H10" s="190">
        <v>0</v>
      </c>
      <c r="I10" s="190">
        <v>0</v>
      </c>
      <c r="J10" s="190">
        <v>0</v>
      </c>
      <c r="K10" s="190">
        <v>0</v>
      </c>
      <c r="L10" s="190">
        <v>0</v>
      </c>
      <c r="M10" s="189" t="s">
        <v>281</v>
      </c>
      <c r="N10" s="183"/>
      <c r="O10" s="210"/>
      <c r="P10" s="210"/>
      <c r="Q10" s="210"/>
      <c r="R10" s="210"/>
    </row>
    <row r="11" spans="1:18" x14ac:dyDescent="0.25">
      <c r="A11" s="209"/>
      <c r="C11" s="102" t="s">
        <v>35</v>
      </c>
      <c r="D11" s="82">
        <v>25</v>
      </c>
      <c r="E11" s="164"/>
      <c r="F11" s="164"/>
      <c r="G11" s="164"/>
      <c r="H11" s="164"/>
      <c r="I11" s="164"/>
      <c r="J11" s="164"/>
      <c r="K11" s="164"/>
      <c r="L11" s="164"/>
      <c r="M11" s="164"/>
      <c r="O11" s="210"/>
      <c r="P11" s="210"/>
      <c r="Q11" s="210"/>
      <c r="R11" s="210"/>
    </row>
    <row r="12" spans="1:18" x14ac:dyDescent="0.25">
      <c r="A12" s="209"/>
      <c r="C12" s="102" t="s">
        <v>375</v>
      </c>
      <c r="D12" s="101">
        <f>D7*D11^2/4</f>
        <v>101093750</v>
      </c>
      <c r="O12" s="210"/>
      <c r="P12" s="210"/>
      <c r="Q12" s="210"/>
      <c r="R12" s="210"/>
    </row>
    <row r="13" spans="1:18" x14ac:dyDescent="0.25">
      <c r="A13" s="209"/>
      <c r="C13" s="102" t="s">
        <v>289</v>
      </c>
      <c r="D13" s="101">
        <f>D7*D11^2/12</f>
        <v>33697916.666666664</v>
      </c>
      <c r="O13" s="210"/>
      <c r="P13" s="210"/>
      <c r="Q13" s="210"/>
      <c r="R13" s="210"/>
    </row>
    <row r="14" spans="1:18" x14ac:dyDescent="0.25">
      <c r="A14" s="209"/>
      <c r="C14" s="102" t="s">
        <v>290</v>
      </c>
      <c r="D14" s="98">
        <f>D13</f>
        <v>33697916.666666664</v>
      </c>
      <c r="O14" s="210"/>
      <c r="P14" s="210"/>
      <c r="Q14" s="210"/>
      <c r="R14" s="210"/>
    </row>
    <row r="15" spans="1:18" x14ac:dyDescent="0.25">
      <c r="A15" s="209"/>
      <c r="C15" s="114" t="s">
        <v>364</v>
      </c>
      <c r="D15" s="82"/>
      <c r="O15" s="210"/>
      <c r="P15" s="210"/>
      <c r="Q15" s="210"/>
      <c r="R15" s="210"/>
    </row>
    <row r="16" spans="1:18" x14ac:dyDescent="0.25">
      <c r="A16" s="209"/>
      <c r="C16" s="115" t="s">
        <v>267</v>
      </c>
      <c r="D16" s="82"/>
      <c r="O16" s="210"/>
      <c r="P16" s="210"/>
      <c r="Q16" s="210"/>
      <c r="R16" s="210"/>
    </row>
    <row r="17" spans="1:19" x14ac:dyDescent="0.25">
      <c r="A17" s="209"/>
      <c r="C17" s="116" t="s">
        <v>269</v>
      </c>
      <c r="D17" s="82">
        <v>18</v>
      </c>
      <c r="O17" s="210"/>
      <c r="P17" s="210"/>
      <c r="Q17" s="210"/>
      <c r="R17" s="210"/>
    </row>
    <row r="18" spans="1:19" x14ac:dyDescent="0.25">
      <c r="A18" s="209"/>
      <c r="C18" s="116" t="s">
        <v>233</v>
      </c>
      <c r="D18" s="82">
        <v>2500</v>
      </c>
      <c r="O18" s="210"/>
      <c r="P18" s="210"/>
      <c r="Q18" s="210"/>
      <c r="R18" s="210"/>
    </row>
    <row r="19" spans="1:19" x14ac:dyDescent="0.25">
      <c r="A19" s="209"/>
      <c r="C19" s="102" t="s">
        <v>54</v>
      </c>
      <c r="D19" s="117">
        <v>200000</v>
      </c>
      <c r="O19" s="210"/>
      <c r="P19" s="210"/>
      <c r="Q19" s="210"/>
      <c r="R19" s="210"/>
    </row>
    <row r="20" spans="1:19" x14ac:dyDescent="0.25">
      <c r="A20" s="209"/>
      <c r="C20" s="116" t="s">
        <v>268</v>
      </c>
      <c r="D20" s="99">
        <f>PI()*D17^2/4*D19/D18</f>
        <v>20357.520395261861</v>
      </c>
      <c r="O20" s="210"/>
      <c r="P20" s="210"/>
      <c r="Q20" s="210"/>
      <c r="R20" s="210"/>
    </row>
    <row r="21" spans="1:19" ht="16.5" thickBot="1" x14ac:dyDescent="0.3">
      <c r="A21" s="239"/>
      <c r="B21" s="177"/>
      <c r="C21" s="240" t="s">
        <v>318</v>
      </c>
      <c r="D21" s="230">
        <v>3</v>
      </c>
      <c r="E21" s="177"/>
      <c r="F21" s="177"/>
      <c r="G21" s="177"/>
      <c r="H21" s="177"/>
      <c r="I21" s="177"/>
      <c r="J21" s="177"/>
      <c r="K21" s="177"/>
      <c r="L21" s="177"/>
      <c r="M21" s="177"/>
      <c r="O21" s="210"/>
      <c r="P21" s="210"/>
      <c r="Q21" s="210"/>
      <c r="R21" s="210"/>
    </row>
    <row r="22" spans="1:19" ht="16.5" thickBot="1" x14ac:dyDescent="0.3">
      <c r="A22" s="391" t="s">
        <v>369</v>
      </c>
      <c r="B22" s="392"/>
      <c r="C22" s="392"/>
      <c r="D22" s="392"/>
      <c r="E22" s="392"/>
      <c r="F22" s="392"/>
      <c r="G22" s="392"/>
      <c r="H22" s="392"/>
      <c r="I22" s="392"/>
      <c r="J22" s="392"/>
      <c r="K22" s="392"/>
      <c r="L22" s="392"/>
      <c r="M22" s="393"/>
      <c r="N22" s="183"/>
      <c r="O22" s="210"/>
      <c r="P22" s="210"/>
      <c r="Q22" s="210"/>
      <c r="R22" s="210"/>
    </row>
    <row r="23" spans="1:19" ht="31.5" x14ac:dyDescent="0.25">
      <c r="A23" s="276" t="s">
        <v>370</v>
      </c>
      <c r="B23" s="233"/>
      <c r="C23" s="241" t="s">
        <v>265</v>
      </c>
      <c r="D23" s="164"/>
      <c r="E23" s="164"/>
      <c r="F23" s="164"/>
      <c r="G23" s="164"/>
      <c r="H23" s="164"/>
      <c r="I23" s="164"/>
      <c r="J23" s="164"/>
      <c r="K23" s="164"/>
      <c r="L23" s="164"/>
      <c r="M23" s="164"/>
      <c r="O23" s="210"/>
      <c r="P23" s="210"/>
      <c r="Q23" s="210"/>
      <c r="R23" s="210"/>
    </row>
    <row r="24" spans="1:19" x14ac:dyDescent="0.25">
      <c r="A24" s="102" t="s">
        <v>3</v>
      </c>
      <c r="B24" s="107"/>
      <c r="C24" s="155"/>
      <c r="O24" s="210"/>
      <c r="P24" s="210"/>
      <c r="Q24" s="210"/>
      <c r="R24" s="210"/>
    </row>
    <row r="25" spans="1:19" x14ac:dyDescent="0.25">
      <c r="A25" s="218" t="s">
        <v>117</v>
      </c>
      <c r="B25" s="153">
        <f>SUM(H35:S35)+C25</f>
        <v>6785.8401317539538</v>
      </c>
      <c r="C25" s="237">
        <f>D20/D21</f>
        <v>6785.8401317539538</v>
      </c>
      <c r="O25" s="210"/>
      <c r="P25" s="210"/>
      <c r="Q25" s="210"/>
      <c r="R25" s="210"/>
    </row>
    <row r="26" spans="1:19" x14ac:dyDescent="0.25">
      <c r="A26" s="218" t="s">
        <v>118</v>
      </c>
      <c r="B26" s="153">
        <f>SUM(H36:S36)+C26</f>
        <v>2588000</v>
      </c>
      <c r="C26" s="219">
        <v>0</v>
      </c>
      <c r="G26" s="243" t="s">
        <v>184</v>
      </c>
      <c r="O26" s="210"/>
      <c r="P26" s="210"/>
      <c r="Q26" s="210"/>
      <c r="R26" s="210"/>
    </row>
    <row r="27" spans="1:19" x14ac:dyDescent="0.25">
      <c r="A27" s="218" t="s">
        <v>119</v>
      </c>
      <c r="B27" s="153">
        <f>SUM(H37:S37)+C27</f>
        <v>2588000</v>
      </c>
      <c r="C27" s="219">
        <v>0</v>
      </c>
      <c r="G27" s="82" t="s">
        <v>124</v>
      </c>
      <c r="O27" s="210"/>
      <c r="P27" s="210"/>
      <c r="Q27" s="210"/>
      <c r="R27" s="210"/>
    </row>
    <row r="28" spans="1:19" x14ac:dyDescent="0.25">
      <c r="A28" s="102" t="s">
        <v>115</v>
      </c>
      <c r="B28" s="107"/>
      <c r="C28" s="200"/>
      <c r="D28" s="88"/>
      <c r="E28" s="88"/>
      <c r="F28" s="88"/>
      <c r="G28" s="213" t="s">
        <v>133</v>
      </c>
      <c r="H28" s="214">
        <v>4</v>
      </c>
      <c r="O28" s="210"/>
      <c r="P28" s="210"/>
      <c r="Q28" s="210"/>
      <c r="R28" s="210"/>
    </row>
    <row r="29" spans="1:19" x14ac:dyDescent="0.25">
      <c r="A29" s="218" t="s">
        <v>8</v>
      </c>
      <c r="B29" s="153">
        <f>SUM(H39:S39)+SUM(H43:S43)+C29</f>
        <v>6874375000</v>
      </c>
      <c r="C29" s="219">
        <v>0</v>
      </c>
      <c r="D29" s="88"/>
      <c r="E29" s="88"/>
      <c r="F29" s="88"/>
      <c r="H29" s="365" t="s">
        <v>129</v>
      </c>
      <c r="I29" s="365"/>
      <c r="J29" s="365"/>
      <c r="K29" s="365"/>
      <c r="L29" s="365"/>
      <c r="M29" s="365"/>
      <c r="N29" s="365"/>
      <c r="O29" s="365"/>
      <c r="P29" s="365"/>
      <c r="Q29" s="365"/>
      <c r="R29" s="365"/>
      <c r="S29" s="365"/>
    </row>
    <row r="30" spans="1:19" x14ac:dyDescent="0.25">
      <c r="A30" s="218" t="s">
        <v>120</v>
      </c>
      <c r="B30" s="153">
        <f>SUM(H40:S40)+SUM(H44:S44)+C30</f>
        <v>6604791666.666667</v>
      </c>
      <c r="C30" s="219">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8" t="s">
        <v>116</v>
      </c>
      <c r="B31" s="153">
        <f>SUM(H41:S41)+SUM(H45:S45)+C31</f>
        <v>6604791666.666667</v>
      </c>
      <c r="C31" s="219">
        <v>0</v>
      </c>
      <c r="D31" s="88"/>
      <c r="E31" s="88"/>
      <c r="F31" s="88"/>
      <c r="G31" s="102" t="s">
        <v>42</v>
      </c>
      <c r="H31" s="214">
        <v>50</v>
      </c>
      <c r="I31" s="214">
        <v>-50</v>
      </c>
      <c r="J31" s="214">
        <v>-50</v>
      </c>
      <c r="K31" s="214">
        <v>50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43</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D33" s="88"/>
      <c r="E33" s="88"/>
      <c r="F33" s="88"/>
      <c r="G33" s="102" t="s">
        <v>44</v>
      </c>
      <c r="H33" s="214">
        <v>50</v>
      </c>
      <c r="I33" s="214">
        <v>50</v>
      </c>
      <c r="J33" s="214">
        <v>-50</v>
      </c>
      <c r="K33" s="214">
        <v>-50</v>
      </c>
      <c r="L33" s="214">
        <v>0</v>
      </c>
      <c r="M33" s="214">
        <v>0</v>
      </c>
      <c r="N33" s="214">
        <v>0</v>
      </c>
      <c r="O33" s="214">
        <v>0</v>
      </c>
      <c r="P33" s="214">
        <v>0</v>
      </c>
      <c r="Q33" s="214">
        <v>0</v>
      </c>
      <c r="R33" s="214">
        <v>0</v>
      </c>
      <c r="S33" s="214">
        <v>0</v>
      </c>
    </row>
    <row r="34" spans="1:19" x14ac:dyDescent="0.25">
      <c r="A34" s="366"/>
      <c r="B34" s="366"/>
      <c r="C34" s="366"/>
      <c r="G34" s="82" t="s">
        <v>130</v>
      </c>
      <c r="H34" s="367"/>
      <c r="I34" s="367"/>
      <c r="J34" s="367"/>
      <c r="K34" s="367"/>
    </row>
    <row r="35" spans="1:19" x14ac:dyDescent="0.25">
      <c r="A35" s="221" t="s">
        <v>185</v>
      </c>
      <c r="B35" s="214"/>
      <c r="C35" s="214"/>
      <c r="D35" s="88"/>
      <c r="E35" s="88"/>
      <c r="F35" s="88"/>
      <c r="G35" s="102" t="s">
        <v>117</v>
      </c>
      <c r="H35" s="142">
        <v>0</v>
      </c>
      <c r="I35" s="142">
        <v>0</v>
      </c>
      <c r="J35" s="142">
        <v>0</v>
      </c>
      <c r="K35" s="142">
        <v>0</v>
      </c>
      <c r="L35" s="214">
        <v>0</v>
      </c>
      <c r="M35" s="214">
        <v>0</v>
      </c>
      <c r="N35" s="214">
        <v>0</v>
      </c>
      <c r="O35" s="214">
        <v>0</v>
      </c>
      <c r="P35" s="214">
        <v>0</v>
      </c>
      <c r="Q35" s="214">
        <v>0</v>
      </c>
      <c r="R35" s="214">
        <v>0</v>
      </c>
      <c r="S35" s="214">
        <v>0</v>
      </c>
    </row>
    <row r="36" spans="1:19" x14ac:dyDescent="0.25">
      <c r="A36" s="81" t="s">
        <v>109</v>
      </c>
      <c r="D36" s="88"/>
      <c r="E36" s="88"/>
      <c r="F36" s="88"/>
      <c r="G36" s="102" t="s">
        <v>118</v>
      </c>
      <c r="H36" s="142">
        <f>'ref bearings, servo, structure'!B5</f>
        <v>647000</v>
      </c>
      <c r="I36" s="142">
        <f>H36</f>
        <v>647000</v>
      </c>
      <c r="J36" s="142">
        <f t="shared" ref="J36:K36" si="1">I36</f>
        <v>647000</v>
      </c>
      <c r="K36" s="142">
        <f t="shared" si="1"/>
        <v>647000</v>
      </c>
      <c r="L36" s="214">
        <v>0</v>
      </c>
      <c r="M36" s="214">
        <v>0</v>
      </c>
      <c r="N36" s="214">
        <v>0</v>
      </c>
      <c r="O36" s="214">
        <v>0</v>
      </c>
      <c r="P36" s="214">
        <v>0</v>
      </c>
      <c r="Q36" s="214">
        <v>0</v>
      </c>
      <c r="R36" s="214">
        <v>0</v>
      </c>
      <c r="S36" s="214">
        <v>0</v>
      </c>
    </row>
    <row r="37" spans="1:19" x14ac:dyDescent="0.25">
      <c r="A37" s="102" t="s">
        <v>186</v>
      </c>
      <c r="B37" s="214">
        <v>0</v>
      </c>
      <c r="D37" s="88"/>
      <c r="E37" s="88"/>
      <c r="F37" s="88"/>
      <c r="G37" s="102" t="s">
        <v>119</v>
      </c>
      <c r="H37" s="142">
        <f>H36</f>
        <v>647000</v>
      </c>
      <c r="I37" s="142">
        <f t="shared" ref="I37:K37" si="2">I36</f>
        <v>647000</v>
      </c>
      <c r="J37" s="142">
        <f t="shared" si="2"/>
        <v>647000</v>
      </c>
      <c r="K37" s="142">
        <f t="shared" si="2"/>
        <v>647000</v>
      </c>
      <c r="L37" s="214">
        <v>0</v>
      </c>
      <c r="M37" s="214">
        <v>0</v>
      </c>
      <c r="N37" s="214">
        <v>0</v>
      </c>
      <c r="O37" s="214">
        <v>0</v>
      </c>
      <c r="P37" s="214">
        <v>0</v>
      </c>
      <c r="Q37" s="214">
        <v>0</v>
      </c>
      <c r="R37" s="214">
        <v>0</v>
      </c>
      <c r="S37" s="214">
        <v>0</v>
      </c>
    </row>
    <row r="38" spans="1:19" x14ac:dyDescent="0.25">
      <c r="A38" s="102" t="s">
        <v>187</v>
      </c>
      <c r="B38" s="214">
        <v>0</v>
      </c>
      <c r="D38" s="88"/>
      <c r="E38" s="88"/>
      <c r="F38" s="88"/>
      <c r="G38" s="82" t="s">
        <v>131</v>
      </c>
      <c r="H38" s="367"/>
      <c r="I38" s="367"/>
      <c r="J38" s="367"/>
      <c r="K38" s="367"/>
    </row>
    <row r="39" spans="1:19" x14ac:dyDescent="0.25">
      <c r="A39" s="102" t="s">
        <v>188</v>
      </c>
      <c r="B39" s="214">
        <v>0</v>
      </c>
      <c r="D39" s="88"/>
      <c r="E39" s="88"/>
      <c r="F39" s="88"/>
      <c r="G39" s="102" t="s">
        <v>8</v>
      </c>
      <c r="H39" s="142">
        <f>'ref bearings, servo, structure'!B10</f>
        <v>101093750</v>
      </c>
      <c r="I39" s="142">
        <f>H39</f>
        <v>101093750</v>
      </c>
      <c r="J39" s="142">
        <f t="shared" ref="J39:K39" si="3">I39</f>
        <v>101093750</v>
      </c>
      <c r="K39" s="142">
        <f t="shared" si="3"/>
        <v>101093750</v>
      </c>
      <c r="L39" s="214">
        <v>0</v>
      </c>
      <c r="M39" s="214">
        <v>0</v>
      </c>
      <c r="N39" s="214">
        <v>0</v>
      </c>
      <c r="O39" s="214">
        <v>0</v>
      </c>
      <c r="P39" s="214">
        <v>0</v>
      </c>
      <c r="Q39" s="214">
        <v>0</v>
      </c>
      <c r="R39" s="214">
        <v>0</v>
      </c>
      <c r="S39" s="214">
        <v>0</v>
      </c>
    </row>
    <row r="40" spans="1:19" x14ac:dyDescent="0.25">
      <c r="A40" s="150" t="s">
        <v>110</v>
      </c>
      <c r="D40" s="88"/>
      <c r="E40" s="88"/>
      <c r="F40" s="88"/>
      <c r="G40" s="102" t="s">
        <v>120</v>
      </c>
      <c r="H40" s="142">
        <f>'ref bearings, servo, structure'!B12</f>
        <v>33697916.666666664</v>
      </c>
      <c r="I40" s="142">
        <f t="shared" ref="I40:K41" si="4">H40</f>
        <v>33697916.666666664</v>
      </c>
      <c r="J40" s="142">
        <f t="shared" si="4"/>
        <v>33697916.666666664</v>
      </c>
      <c r="K40" s="142">
        <f t="shared" si="4"/>
        <v>33697916.666666664</v>
      </c>
      <c r="L40" s="214">
        <v>0</v>
      </c>
      <c r="M40" s="214">
        <v>0</v>
      </c>
      <c r="N40" s="214">
        <v>0</v>
      </c>
      <c r="O40" s="214">
        <v>0</v>
      </c>
      <c r="P40" s="214">
        <v>0</v>
      </c>
      <c r="Q40" s="214">
        <v>0</v>
      </c>
      <c r="R40" s="214">
        <v>0</v>
      </c>
      <c r="S40" s="214">
        <v>0</v>
      </c>
    </row>
    <row r="41" spans="1:19" x14ac:dyDescent="0.25">
      <c r="A41" s="102" t="s">
        <v>186</v>
      </c>
      <c r="B41" s="214">
        <v>0</v>
      </c>
      <c r="G41" s="102" t="s">
        <v>116</v>
      </c>
      <c r="H41" s="142">
        <f>'ref bearings, servo, structure'!B11</f>
        <v>33697916.666666664</v>
      </c>
      <c r="I41" s="142">
        <f t="shared" si="4"/>
        <v>33697916.666666664</v>
      </c>
      <c r="J41" s="142">
        <f t="shared" si="4"/>
        <v>33697916.666666664</v>
      </c>
      <c r="K41" s="142">
        <f t="shared" si="4"/>
        <v>33697916.666666664</v>
      </c>
      <c r="L41" s="214">
        <v>0</v>
      </c>
      <c r="M41" s="214">
        <v>0</v>
      </c>
      <c r="N41" s="214">
        <v>0</v>
      </c>
      <c r="O41" s="214">
        <v>0</v>
      </c>
      <c r="P41" s="214">
        <v>0</v>
      </c>
      <c r="Q41" s="214">
        <v>0</v>
      </c>
      <c r="R41" s="214">
        <v>0</v>
      </c>
      <c r="S41" s="214">
        <v>0</v>
      </c>
    </row>
    <row r="42" spans="1:19" x14ac:dyDescent="0.25">
      <c r="A42" s="102" t="s">
        <v>187</v>
      </c>
      <c r="B42" s="214">
        <v>0</v>
      </c>
      <c r="D42" s="217"/>
      <c r="E42" s="217"/>
      <c r="F42" s="217"/>
      <c r="G42" s="82" t="s">
        <v>125</v>
      </c>
    </row>
    <row r="43" spans="1:19" x14ac:dyDescent="0.25">
      <c r="A43" s="102" t="s">
        <v>188</v>
      </c>
      <c r="B43" s="214">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5" t="s">
        <v>206</v>
      </c>
      <c r="D44" s="219"/>
      <c r="E44" s="219"/>
      <c r="F44" s="219"/>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9"/>
      <c r="E45" s="219"/>
      <c r="F45" s="219"/>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8"/>
      <c r="D46" s="219"/>
      <c r="E46" s="219"/>
      <c r="F46" s="219"/>
      <c r="G46" s="82" t="s">
        <v>307</v>
      </c>
    </row>
    <row r="47" spans="1:19" x14ac:dyDescent="0.25">
      <c r="A47" s="102" t="s">
        <v>123</v>
      </c>
      <c r="B47" s="105">
        <f t="shared" si="8"/>
        <v>5.0000000000000001E-3</v>
      </c>
      <c r="C47" s="88"/>
      <c r="D47" s="200"/>
      <c r="E47" s="200"/>
      <c r="F47" s="200"/>
      <c r="G47" s="102" t="s">
        <v>121</v>
      </c>
      <c r="H47" s="214">
        <f t="shared" ref="H47:K49" si="9">0.005</f>
        <v>5.0000000000000001E-3</v>
      </c>
      <c r="I47" s="214">
        <f t="shared" si="9"/>
        <v>5.0000000000000001E-3</v>
      </c>
      <c r="J47" s="214">
        <f t="shared" si="9"/>
        <v>5.0000000000000001E-3</v>
      </c>
      <c r="K47" s="214">
        <f t="shared" si="9"/>
        <v>5.0000000000000001E-3</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1.0000000000000007E-4</v>
      </c>
      <c r="C48" s="88"/>
      <c r="D48" s="219"/>
      <c r="E48" s="219"/>
      <c r="F48" s="219"/>
      <c r="G48" s="102" t="s">
        <v>122</v>
      </c>
      <c r="H48" s="214">
        <f t="shared" si="9"/>
        <v>5.0000000000000001E-3</v>
      </c>
      <c r="I48" s="214">
        <f t="shared" si="9"/>
        <v>5.0000000000000001E-3</v>
      </c>
      <c r="J48" s="214">
        <f t="shared" si="9"/>
        <v>5.0000000000000001E-3</v>
      </c>
      <c r="K48" s="214">
        <f t="shared" si="9"/>
        <v>5.0000000000000001E-3</v>
      </c>
      <c r="L48" s="214">
        <v>0</v>
      </c>
      <c r="M48" s="214">
        <v>0</v>
      </c>
      <c r="N48" s="214">
        <v>0</v>
      </c>
      <c r="O48" s="214">
        <v>0</v>
      </c>
      <c r="P48" s="214">
        <v>0</v>
      </c>
      <c r="Q48" s="214">
        <v>0</v>
      </c>
      <c r="R48" s="214">
        <v>0</v>
      </c>
      <c r="S48" s="214">
        <v>0</v>
      </c>
    </row>
    <row r="49" spans="1:20" x14ac:dyDescent="0.25">
      <c r="A49" s="102" t="s">
        <v>86</v>
      </c>
      <c r="B49" s="105">
        <f>SQRT((H52^2+I52^2+J52^2+K52^2+L52^2+M52^2+N52^2+O52^2+P52^2+Q52^2+R52^2+S52^2+B38^2)/H$28)</f>
        <v>9.9999999000000077E-5</v>
      </c>
      <c r="C49" s="88"/>
      <c r="D49" s="219"/>
      <c r="E49" s="219"/>
      <c r="F49" s="219"/>
      <c r="G49" s="102" t="s">
        <v>123</v>
      </c>
      <c r="H49" s="214">
        <f t="shared" si="9"/>
        <v>5.0000000000000001E-3</v>
      </c>
      <c r="I49" s="214">
        <f t="shared" si="9"/>
        <v>5.0000000000000001E-3</v>
      </c>
      <c r="J49" s="214">
        <f t="shared" si="9"/>
        <v>5.0000000000000001E-3</v>
      </c>
      <c r="K49" s="214">
        <f t="shared" si="9"/>
        <v>5.0000000000000001E-3</v>
      </c>
      <c r="L49" s="214">
        <v>0</v>
      </c>
      <c r="M49" s="214">
        <v>0</v>
      </c>
      <c r="N49" s="214">
        <v>0</v>
      </c>
      <c r="O49" s="214">
        <v>0</v>
      </c>
      <c r="P49" s="214">
        <v>0</v>
      </c>
      <c r="Q49" s="214">
        <v>0</v>
      </c>
      <c r="R49" s="214">
        <v>0</v>
      </c>
      <c r="S49" s="214">
        <v>0</v>
      </c>
    </row>
    <row r="50" spans="1:20" x14ac:dyDescent="0.25">
      <c r="A50" s="102" t="s">
        <v>87</v>
      </c>
      <c r="B50" s="105">
        <f>SQRT((H53^2+I53^2+J53^2+K53^2+L53^2+M53^2+N53^2+O53^2+P53^2+Q53^2+R53^2+S53^2+B39^2)/H$28)</f>
        <v>1.0000000000000007E-4</v>
      </c>
      <c r="C50" s="88"/>
      <c r="D50" s="219"/>
      <c r="E50" s="219"/>
      <c r="F50" s="219"/>
      <c r="G50" s="82" t="s">
        <v>251</v>
      </c>
    </row>
    <row r="51" spans="1:20" ht="47.25" x14ac:dyDescent="0.25">
      <c r="A51" s="216" t="s">
        <v>207</v>
      </c>
      <c r="B51" s="107"/>
      <c r="D51" s="220"/>
      <c r="E51" s="220"/>
      <c r="F51" s="220"/>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x14ac:dyDescent="0.25">
      <c r="A52" s="102" t="s">
        <v>121</v>
      </c>
      <c r="B52" s="105">
        <f>SQRT((H55^2+I55^2+J55^2+K55^2+L55^2+M55^2+N55^2+O55^2+P55^2+Q55^2+R55^2+S55^2)/H$28)</f>
        <v>0</v>
      </c>
      <c r="C52" s="88"/>
      <c r="D52" s="220"/>
      <c r="E52" s="220"/>
      <c r="F52" s="220"/>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x14ac:dyDescent="0.25">
      <c r="A53" s="102" t="s">
        <v>122</v>
      </c>
      <c r="B53" s="105">
        <f t="shared" ref="B53:B54" si="12">SQRT((H56^2+I56^2+J56^2+K56^2+L56^2+M56^2+N56^2+O56^2+P56^2+Q56^2+R56^2+S56^2)/H$28)</f>
        <v>0</v>
      </c>
      <c r="C53" s="88"/>
      <c r="D53" s="220"/>
      <c r="E53" s="220"/>
      <c r="F53" s="220"/>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x14ac:dyDescent="0.25">
      <c r="A54" s="102" t="s">
        <v>123</v>
      </c>
      <c r="B54" s="105">
        <f t="shared" si="12"/>
        <v>0</v>
      </c>
      <c r="C54" s="88"/>
      <c r="D54" s="214"/>
      <c r="E54" s="214"/>
      <c r="F54" s="214"/>
      <c r="G54" s="82" t="s">
        <v>330</v>
      </c>
    </row>
    <row r="55" spans="1:20" x14ac:dyDescent="0.25">
      <c r="A55" s="102" t="s">
        <v>85</v>
      </c>
      <c r="B55" s="105">
        <f>SQRT((H59^2+I59^2+J59^2+K59^2+L59^2+M59^2+N59^2+O59^2+P59^2+Q59^2+R59^2+S59^2+B41^2)/H$28)</f>
        <v>0</v>
      </c>
      <c r="C55" s="88"/>
      <c r="G55" s="102" t="s">
        <v>121</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SQRT((H60^2+I60^2+J60^2+K60^2+L60^2+M60^2+N60^2+O60^2+P60^2+Q60^2+R60^2+S60^2+B42^2)/H$28)</f>
        <v>0</v>
      </c>
      <c r="C56" s="88"/>
      <c r="G56" s="102" t="s">
        <v>122</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SQRT((H61^2+I61^2+J61^2+K61^2+L61^2+M61^2+N61^2+O61^2+P61^2+Q61^2+R61^2+S61^2+B43^2)/H$28)</f>
        <v>0</v>
      </c>
      <c r="C57" s="88"/>
      <c r="G57" s="102" t="s">
        <v>123</v>
      </c>
      <c r="H57" s="214">
        <v>0</v>
      </c>
      <c r="I57" s="214">
        <v>0</v>
      </c>
      <c r="J57" s="214">
        <v>0</v>
      </c>
      <c r="K57" s="214">
        <v>0</v>
      </c>
      <c r="L57" s="214">
        <v>0</v>
      </c>
      <c r="M57" s="214">
        <v>0</v>
      </c>
      <c r="N57" s="214">
        <v>0</v>
      </c>
      <c r="O57" s="214">
        <v>0</v>
      </c>
      <c r="P57" s="214">
        <v>0</v>
      </c>
      <c r="Q57" s="214">
        <v>0</v>
      </c>
      <c r="R57" s="214">
        <v>0</v>
      </c>
      <c r="S57" s="214">
        <v>0</v>
      </c>
    </row>
    <row r="58" spans="1:20" x14ac:dyDescent="0.25">
      <c r="B58" s="107"/>
      <c r="G58" s="82" t="s">
        <v>252</v>
      </c>
    </row>
    <row r="59" spans="1:20" x14ac:dyDescent="0.25">
      <c r="G59" s="102" t="s">
        <v>85</v>
      </c>
      <c r="H59" s="222">
        <f>H113</f>
        <v>0</v>
      </c>
      <c r="I59" s="222">
        <f t="shared" ref="I59:S59" si="14">I113</f>
        <v>0</v>
      </c>
      <c r="J59" s="222">
        <f t="shared" si="14"/>
        <v>0</v>
      </c>
      <c r="K59" s="222">
        <f t="shared" si="14"/>
        <v>0</v>
      </c>
      <c r="L59" s="222">
        <f t="shared" si="14"/>
        <v>0</v>
      </c>
      <c r="M59" s="222">
        <f t="shared" si="14"/>
        <v>0</v>
      </c>
      <c r="N59" s="222">
        <f t="shared" si="14"/>
        <v>0</v>
      </c>
      <c r="O59" s="222">
        <f t="shared" si="14"/>
        <v>0</v>
      </c>
      <c r="P59" s="222">
        <f t="shared" si="14"/>
        <v>0</v>
      </c>
      <c r="Q59" s="222">
        <f t="shared" si="14"/>
        <v>0</v>
      </c>
      <c r="R59" s="222">
        <f t="shared" si="14"/>
        <v>0</v>
      </c>
      <c r="S59" s="222">
        <f t="shared" si="14"/>
        <v>0</v>
      </c>
    </row>
    <row r="60" spans="1:20" x14ac:dyDescent="0.25">
      <c r="G60" s="102" t="s">
        <v>86</v>
      </c>
      <c r="H60" s="222">
        <f>H118</f>
        <v>0</v>
      </c>
      <c r="I60" s="222">
        <f t="shared" ref="I60:S60" si="15">I118</f>
        <v>0</v>
      </c>
      <c r="J60" s="222">
        <f t="shared" si="15"/>
        <v>0</v>
      </c>
      <c r="K60" s="222">
        <f t="shared" si="15"/>
        <v>0</v>
      </c>
      <c r="L60" s="222">
        <f t="shared" si="15"/>
        <v>0</v>
      </c>
      <c r="M60" s="222">
        <f t="shared" si="15"/>
        <v>0</v>
      </c>
      <c r="N60" s="222">
        <f t="shared" si="15"/>
        <v>0</v>
      </c>
      <c r="O60" s="222">
        <f t="shared" si="15"/>
        <v>0</v>
      </c>
      <c r="P60" s="222">
        <f t="shared" si="15"/>
        <v>0</v>
      </c>
      <c r="Q60" s="222">
        <f t="shared" si="15"/>
        <v>0</v>
      </c>
      <c r="R60" s="222">
        <f t="shared" si="15"/>
        <v>0</v>
      </c>
      <c r="S60" s="222">
        <f t="shared" si="15"/>
        <v>0</v>
      </c>
    </row>
    <row r="61" spans="1:20" x14ac:dyDescent="0.25">
      <c r="G61" s="102" t="s">
        <v>87</v>
      </c>
      <c r="H61" s="222">
        <f>H123</f>
        <v>0</v>
      </c>
      <c r="I61" s="222">
        <f t="shared" ref="I61:S61" si="16">I123</f>
        <v>0</v>
      </c>
      <c r="J61" s="222">
        <f t="shared" si="16"/>
        <v>0</v>
      </c>
      <c r="K61" s="222">
        <f t="shared" si="16"/>
        <v>0</v>
      </c>
      <c r="L61" s="222">
        <f t="shared" si="16"/>
        <v>0</v>
      </c>
      <c r="M61" s="222">
        <f t="shared" si="16"/>
        <v>0</v>
      </c>
      <c r="N61" s="222">
        <f t="shared" si="16"/>
        <v>0</v>
      </c>
      <c r="O61" s="222">
        <f t="shared" si="16"/>
        <v>0</v>
      </c>
      <c r="P61" s="222">
        <f t="shared" si="16"/>
        <v>0</v>
      </c>
      <c r="Q61" s="222">
        <f t="shared" si="16"/>
        <v>0</v>
      </c>
      <c r="R61" s="222">
        <f t="shared" si="16"/>
        <v>0</v>
      </c>
      <c r="S61" s="222">
        <f t="shared" si="16"/>
        <v>0</v>
      </c>
    </row>
    <row r="62" spans="1:20" x14ac:dyDescent="0.25">
      <c r="G62" s="215"/>
    </row>
    <row r="63" spans="1:20" x14ac:dyDescent="0.25">
      <c r="I63" s="118"/>
      <c r="J63" s="118"/>
      <c r="K63" s="118"/>
      <c r="L63" s="118"/>
      <c r="M63" s="118"/>
      <c r="N63" s="118"/>
    </row>
    <row r="64" spans="1:20" x14ac:dyDescent="0.25">
      <c r="G64" s="119"/>
      <c r="H64" s="353"/>
      <c r="I64" s="223"/>
      <c r="J64" s="223"/>
      <c r="K64" s="223"/>
      <c r="L64" s="223"/>
      <c r="M64" s="223"/>
      <c r="N64" s="223"/>
      <c r="O64" s="118"/>
    </row>
    <row r="65" spans="1:15" x14ac:dyDescent="0.25">
      <c r="G65" s="119"/>
      <c r="H65" s="353"/>
      <c r="I65" s="223"/>
      <c r="J65" s="223"/>
      <c r="K65" s="223"/>
      <c r="L65" s="223"/>
      <c r="M65" s="223"/>
      <c r="N65" s="223"/>
      <c r="O65" s="118"/>
    </row>
    <row r="66" spans="1:15" x14ac:dyDescent="0.25">
      <c r="G66" s="119"/>
      <c r="H66" s="353"/>
      <c r="I66" s="223"/>
      <c r="J66" s="223"/>
      <c r="K66" s="223"/>
      <c r="L66" s="223"/>
      <c r="M66" s="223"/>
      <c r="N66" s="223"/>
      <c r="O66" s="118"/>
    </row>
    <row r="67" spans="1:15" x14ac:dyDescent="0.25">
      <c r="G67" s="119"/>
      <c r="H67" s="353"/>
      <c r="I67" s="223"/>
      <c r="J67" s="223"/>
      <c r="K67" s="223"/>
      <c r="L67" s="223"/>
      <c r="M67" s="223"/>
      <c r="N67" s="223"/>
      <c r="O67" s="118"/>
    </row>
    <row r="68" spans="1:15" x14ac:dyDescent="0.25">
      <c r="G68" s="119"/>
      <c r="H68" s="353"/>
      <c r="I68" s="223"/>
      <c r="J68" s="223"/>
      <c r="K68" s="223"/>
      <c r="L68" s="223"/>
      <c r="M68" s="223"/>
      <c r="N68" s="223"/>
      <c r="O68" s="118"/>
    </row>
    <row r="69" spans="1:15" x14ac:dyDescent="0.25">
      <c r="G69" s="119"/>
      <c r="H69" s="353"/>
      <c r="I69" s="223"/>
      <c r="J69" s="223"/>
      <c r="K69" s="223"/>
      <c r="L69" s="223"/>
      <c r="M69" s="223"/>
      <c r="N69" s="223"/>
      <c r="O69" s="118"/>
    </row>
    <row r="70" spans="1:15" x14ac:dyDescent="0.25">
      <c r="G70" s="119"/>
      <c r="H70" s="197"/>
      <c r="I70" s="223"/>
      <c r="J70" s="223"/>
      <c r="K70" s="223"/>
      <c r="L70" s="223"/>
      <c r="M70" s="223"/>
      <c r="N70" s="223"/>
      <c r="O70" s="118"/>
    </row>
    <row r="71" spans="1:15" x14ac:dyDescent="0.25">
      <c r="G71" s="119"/>
      <c r="H71" s="197"/>
      <c r="I71" s="223"/>
      <c r="J71" s="223"/>
      <c r="K71" s="223"/>
      <c r="L71" s="223"/>
      <c r="M71" s="223"/>
      <c r="N71" s="223"/>
      <c r="O71" s="118"/>
    </row>
    <row r="72" spans="1:15" x14ac:dyDescent="0.25">
      <c r="G72" s="119"/>
      <c r="H72" s="197"/>
      <c r="I72" s="223"/>
      <c r="J72" s="223"/>
      <c r="K72" s="223"/>
      <c r="L72" s="223"/>
      <c r="M72" s="223"/>
      <c r="N72" s="223"/>
      <c r="O72" s="118"/>
    </row>
    <row r="73" spans="1:15" x14ac:dyDescent="0.25">
      <c r="G73" s="119"/>
      <c r="H73" s="197"/>
      <c r="I73" s="223"/>
      <c r="J73" s="223"/>
      <c r="K73" s="223"/>
      <c r="L73" s="223"/>
      <c r="M73" s="223"/>
      <c r="N73" s="223"/>
      <c r="O73" s="118"/>
    </row>
    <row r="74" spans="1:15" x14ac:dyDescent="0.25">
      <c r="G74" s="119"/>
      <c r="H74" s="197"/>
      <c r="I74" s="223"/>
      <c r="J74" s="223"/>
      <c r="K74" s="223"/>
      <c r="L74" s="223"/>
      <c r="M74" s="223"/>
      <c r="N74" s="223"/>
      <c r="O74" s="118"/>
    </row>
    <row r="75" spans="1:15" x14ac:dyDescent="0.25">
      <c r="G75" s="119"/>
      <c r="H75" s="197"/>
      <c r="I75" s="223"/>
      <c r="J75" s="223"/>
      <c r="K75" s="223"/>
      <c r="L75" s="223"/>
      <c r="M75" s="223"/>
      <c r="N75" s="223"/>
      <c r="O75" s="118"/>
    </row>
    <row r="76" spans="1:15" x14ac:dyDescent="0.25">
      <c r="G76" s="119"/>
      <c r="H76" s="197"/>
      <c r="I76" s="223"/>
      <c r="J76" s="223"/>
      <c r="K76" s="223"/>
      <c r="L76" s="223"/>
      <c r="M76" s="223"/>
      <c r="N76" s="223"/>
      <c r="O76" s="118"/>
    </row>
    <row r="77" spans="1:15" x14ac:dyDescent="0.25">
      <c r="G77" s="119"/>
      <c r="H77" s="197"/>
      <c r="I77" s="223"/>
      <c r="J77" s="223"/>
      <c r="K77" s="223"/>
      <c r="L77" s="223"/>
      <c r="M77" s="223"/>
      <c r="N77" s="223"/>
      <c r="O77" s="118"/>
    </row>
    <row r="78" spans="1:15" x14ac:dyDescent="0.25">
      <c r="G78" s="119"/>
      <c r="H78" s="197"/>
      <c r="I78" s="223"/>
      <c r="J78" s="223"/>
      <c r="K78" s="223"/>
      <c r="L78" s="223"/>
      <c r="M78" s="223"/>
      <c r="N78" s="223"/>
      <c r="O78" s="118"/>
    </row>
    <row r="79" spans="1:15" x14ac:dyDescent="0.25">
      <c r="G79" s="119"/>
      <c r="H79" s="197"/>
      <c r="I79" s="223"/>
      <c r="J79" s="223"/>
      <c r="K79" s="223"/>
      <c r="L79" s="223"/>
      <c r="M79" s="223"/>
      <c r="N79" s="223"/>
      <c r="O79" s="118"/>
    </row>
    <row r="80" spans="1:15" x14ac:dyDescent="0.25">
      <c r="A80" s="102"/>
      <c r="B80" s="210"/>
      <c r="G80" s="119"/>
      <c r="H80" s="197"/>
      <c r="I80" s="223"/>
      <c r="J80" s="223"/>
      <c r="K80" s="223"/>
      <c r="L80" s="223"/>
      <c r="M80" s="223"/>
      <c r="N80" s="223"/>
      <c r="O80" s="118"/>
    </row>
    <row r="81" spans="1:19" x14ac:dyDescent="0.25">
      <c r="A81" s="102"/>
      <c r="B81" s="210"/>
      <c r="G81" s="119"/>
      <c r="H81" s="197"/>
      <c r="I81" s="223"/>
      <c r="J81" s="223"/>
      <c r="K81" s="223"/>
      <c r="L81" s="223"/>
      <c r="M81" s="223"/>
      <c r="N81" s="223"/>
      <c r="O81" s="118"/>
    </row>
    <row r="82" spans="1:19" x14ac:dyDescent="0.25">
      <c r="A82" s="102"/>
      <c r="B82" s="210"/>
      <c r="G82" s="119"/>
      <c r="H82" s="197"/>
      <c r="I82" s="223"/>
      <c r="J82" s="223"/>
      <c r="K82" s="223"/>
      <c r="L82" s="223"/>
      <c r="M82" s="223"/>
      <c r="N82" s="223"/>
      <c r="O82" s="118"/>
    </row>
    <row r="83" spans="1:19" x14ac:dyDescent="0.25">
      <c r="A83" s="102"/>
      <c r="B83" s="210"/>
      <c r="G83" s="119"/>
      <c r="H83" s="197"/>
      <c r="I83" s="223"/>
      <c r="J83" s="223"/>
      <c r="K83" s="223"/>
      <c r="L83" s="223"/>
      <c r="M83" s="223"/>
      <c r="N83" s="223"/>
      <c r="O83" s="118"/>
    </row>
    <row r="84" spans="1:19" x14ac:dyDescent="0.25">
      <c r="A84" s="102"/>
      <c r="B84" s="210"/>
      <c r="G84" s="119"/>
      <c r="H84" s="197"/>
      <c r="I84" s="223"/>
      <c r="J84" s="223"/>
      <c r="K84" s="223"/>
      <c r="L84" s="223"/>
      <c r="M84" s="223"/>
      <c r="N84" s="223"/>
      <c r="O84" s="118"/>
    </row>
    <row r="85" spans="1:19" x14ac:dyDescent="0.25">
      <c r="A85" s="102"/>
      <c r="B85" s="210"/>
      <c r="G85" s="119"/>
      <c r="H85" s="197"/>
      <c r="I85" s="223"/>
      <c r="J85" s="223"/>
      <c r="K85" s="223"/>
      <c r="L85" s="223"/>
      <c r="M85" s="223"/>
      <c r="N85" s="223"/>
      <c r="O85" s="118"/>
    </row>
    <row r="86" spans="1:19" x14ac:dyDescent="0.25">
      <c r="A86" s="102"/>
      <c r="B86" s="210"/>
      <c r="G86" s="119"/>
      <c r="H86" s="197"/>
      <c r="I86" s="223"/>
      <c r="J86" s="223"/>
      <c r="K86" s="223"/>
      <c r="L86" s="223"/>
      <c r="M86" s="223"/>
      <c r="N86" s="223"/>
      <c r="O86" s="118"/>
    </row>
    <row r="87" spans="1:19" x14ac:dyDescent="0.25">
      <c r="A87" s="102"/>
      <c r="B87" s="210"/>
      <c r="G87" s="119"/>
      <c r="H87" s="197"/>
      <c r="I87" s="223"/>
      <c r="J87" s="223"/>
      <c r="K87" s="223"/>
      <c r="L87" s="223"/>
      <c r="M87" s="223"/>
      <c r="N87" s="223"/>
      <c r="O87" s="118"/>
    </row>
    <row r="88" spans="1:19" x14ac:dyDescent="0.25">
      <c r="A88" s="102"/>
      <c r="B88" s="210"/>
      <c r="G88" s="119"/>
      <c r="H88" s="197"/>
      <c r="I88" s="223"/>
      <c r="J88" s="223"/>
      <c r="K88" s="223"/>
      <c r="L88" s="223"/>
      <c r="M88" s="223"/>
      <c r="N88" s="223"/>
      <c r="O88" s="118"/>
    </row>
    <row r="89" spans="1:19" x14ac:dyDescent="0.25">
      <c r="A89" s="102"/>
      <c r="B89" s="210"/>
      <c r="G89" s="119"/>
      <c r="H89" s="197"/>
      <c r="I89" s="223"/>
      <c r="J89" s="223"/>
      <c r="K89" s="223"/>
      <c r="L89" s="223"/>
      <c r="M89" s="223"/>
      <c r="N89" s="223"/>
      <c r="O89" s="118"/>
    </row>
    <row r="90" spans="1:19" x14ac:dyDescent="0.25">
      <c r="A90" s="102"/>
      <c r="B90" s="210"/>
      <c r="G90" s="119"/>
      <c r="H90" s="197"/>
      <c r="I90" s="223"/>
      <c r="J90" s="223"/>
      <c r="K90" s="223"/>
      <c r="L90" s="223"/>
      <c r="M90" s="223"/>
      <c r="N90" s="223"/>
      <c r="O90" s="118"/>
    </row>
    <row r="91" spans="1:19" x14ac:dyDescent="0.25">
      <c r="A91" s="102"/>
      <c r="B91" s="210"/>
    </row>
    <row r="92" spans="1:19" x14ac:dyDescent="0.25">
      <c r="A92" s="102"/>
      <c r="B92" s="210"/>
    </row>
    <row r="93" spans="1:19" x14ac:dyDescent="0.25">
      <c r="A93" s="102"/>
      <c r="B93" s="210"/>
    </row>
    <row r="94" spans="1:19" x14ac:dyDescent="0.25">
      <c r="A94" s="102"/>
      <c r="B94" s="210"/>
      <c r="G94" s="224" t="s">
        <v>259</v>
      </c>
    </row>
    <row r="95" spans="1:19" x14ac:dyDescent="0.25">
      <c r="A95" s="102"/>
      <c r="B95" s="210"/>
      <c r="G95" s="212"/>
      <c r="H95" s="150" t="s">
        <v>260</v>
      </c>
    </row>
    <row r="96" spans="1:19" x14ac:dyDescent="0.25">
      <c r="A96" s="102"/>
      <c r="B96" s="210"/>
      <c r="G96" s="150" t="s">
        <v>258</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0"/>
      <c r="G97" s="150" t="s">
        <v>258</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10"/>
      <c r="G98" s="81" t="s">
        <v>256</v>
      </c>
      <c r="H98" s="225">
        <f>IF(MIN(H96,H97)&gt;1,0,MIN(H96,H97))</f>
        <v>9.9999998000000053E-5</v>
      </c>
      <c r="I98" s="225">
        <f t="shared" ref="I98:S98" si="19">IF(MIN(I96,I97)&gt;1,0,MIN(I96,I97))</f>
        <v>9.9999998000000053E-5</v>
      </c>
      <c r="J98" s="225">
        <f t="shared" si="19"/>
        <v>1.0000000200000004E-4</v>
      </c>
      <c r="K98" s="225">
        <f t="shared" si="19"/>
        <v>1.0000000200000004E-4</v>
      </c>
      <c r="L98" s="225">
        <f t="shared" si="19"/>
        <v>0</v>
      </c>
      <c r="M98" s="225">
        <f t="shared" si="19"/>
        <v>0</v>
      </c>
      <c r="N98" s="225">
        <f t="shared" si="19"/>
        <v>0</v>
      </c>
      <c r="O98" s="225">
        <f t="shared" si="19"/>
        <v>0</v>
      </c>
      <c r="P98" s="225">
        <f t="shared" si="19"/>
        <v>0</v>
      </c>
      <c r="Q98" s="225">
        <f t="shared" si="19"/>
        <v>0</v>
      </c>
      <c r="R98" s="225">
        <f t="shared" si="19"/>
        <v>0</v>
      </c>
      <c r="S98" s="225">
        <f t="shared" si="19"/>
        <v>0</v>
      </c>
    </row>
    <row r="99" spans="1:19" x14ac:dyDescent="0.25">
      <c r="A99" s="102"/>
      <c r="B99" s="210"/>
      <c r="H99" s="150" t="s">
        <v>261</v>
      </c>
      <c r="I99" s="150"/>
      <c r="J99" s="150"/>
      <c r="K99" s="150"/>
      <c r="L99" s="150"/>
      <c r="M99" s="150"/>
      <c r="N99" s="150"/>
      <c r="O99" s="150"/>
      <c r="P99" s="150"/>
      <c r="Q99" s="150"/>
      <c r="R99" s="150"/>
      <c r="S99" s="150"/>
    </row>
    <row r="100" spans="1:19" x14ac:dyDescent="0.25">
      <c r="A100" s="102"/>
      <c r="B100" s="210"/>
      <c r="G100" s="115" t="s">
        <v>258</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x14ac:dyDescent="0.25">
      <c r="A101" s="102"/>
      <c r="B101" s="210"/>
      <c r="G101" s="115" t="s">
        <v>258</v>
      </c>
      <c r="H101" s="226">
        <f t="shared" ref="H101:S101" si="21">H47/ABS(H33+0.000001)</f>
        <v>9.9999998000000053E-5</v>
      </c>
      <c r="I101" s="226">
        <f t="shared" si="21"/>
        <v>9.9999998000000053E-5</v>
      </c>
      <c r="J101" s="226">
        <f t="shared" si="21"/>
        <v>1.0000000200000004E-4</v>
      </c>
      <c r="K101" s="226">
        <f t="shared" si="21"/>
        <v>1.0000000200000004E-4</v>
      </c>
      <c r="L101" s="226">
        <f t="shared" si="21"/>
        <v>0</v>
      </c>
      <c r="M101" s="226">
        <f t="shared" si="21"/>
        <v>0</v>
      </c>
      <c r="N101" s="226">
        <f t="shared" si="21"/>
        <v>0</v>
      </c>
      <c r="O101" s="226">
        <f t="shared" si="21"/>
        <v>0</v>
      </c>
      <c r="P101" s="226">
        <f t="shared" si="21"/>
        <v>0</v>
      </c>
      <c r="Q101" s="226">
        <f t="shared" si="21"/>
        <v>0</v>
      </c>
      <c r="R101" s="226">
        <f t="shared" si="21"/>
        <v>0</v>
      </c>
      <c r="S101" s="226">
        <f t="shared" si="21"/>
        <v>0</v>
      </c>
    </row>
    <row r="102" spans="1:19" x14ac:dyDescent="0.25">
      <c r="A102" s="102"/>
      <c r="B102" s="210"/>
      <c r="G102" s="81" t="s">
        <v>256</v>
      </c>
      <c r="H102" s="225">
        <f>IF(MIN(H100,H101)&gt;1,0,MIN(H100,H101))</f>
        <v>9.9999998000000053E-5</v>
      </c>
      <c r="I102" s="225">
        <f t="shared" ref="I102:S102" si="22">IF(MIN(I100,I101)&gt;1,0,MIN(I100,I101))</f>
        <v>9.9999998000000053E-5</v>
      </c>
      <c r="J102" s="225">
        <f t="shared" si="22"/>
        <v>1.0000000200000004E-4</v>
      </c>
      <c r="K102" s="225">
        <f t="shared" si="22"/>
        <v>9.9999998000000053E-5</v>
      </c>
      <c r="L102" s="225">
        <f t="shared" si="22"/>
        <v>0</v>
      </c>
      <c r="M102" s="225">
        <f t="shared" si="22"/>
        <v>0</v>
      </c>
      <c r="N102" s="225">
        <f t="shared" si="22"/>
        <v>0</v>
      </c>
      <c r="O102" s="225">
        <f t="shared" si="22"/>
        <v>0</v>
      </c>
      <c r="P102" s="225">
        <f t="shared" si="22"/>
        <v>0</v>
      </c>
      <c r="Q102" s="225">
        <f t="shared" si="22"/>
        <v>0</v>
      </c>
      <c r="R102" s="225">
        <f t="shared" si="22"/>
        <v>0</v>
      </c>
      <c r="S102" s="225">
        <f t="shared" si="22"/>
        <v>0</v>
      </c>
    </row>
    <row r="103" spans="1:19" x14ac:dyDescent="0.25">
      <c r="A103" s="102"/>
      <c r="B103" s="210"/>
      <c r="H103" s="81" t="s">
        <v>262</v>
      </c>
    </row>
    <row r="104" spans="1:19" x14ac:dyDescent="0.25">
      <c r="A104" s="102"/>
      <c r="B104" s="210"/>
      <c r="G104" s="150" t="s">
        <v>258</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10"/>
      <c r="G105" s="150" t="s">
        <v>258</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10"/>
      <c r="G106" s="81" t="s">
        <v>256</v>
      </c>
      <c r="H106" s="225">
        <f>IF(MIN(H104,H105)&gt;1,0,MIN(H104,H105))</f>
        <v>9.9999998000000053E-5</v>
      </c>
      <c r="I106" s="225">
        <f t="shared" ref="I106:S106" si="25">IF(MIN(I104,I105)&gt;1,0,MIN(I104,I105))</f>
        <v>1.0000000200000004E-4</v>
      </c>
      <c r="J106" s="225">
        <f t="shared" si="25"/>
        <v>1.0000000200000004E-4</v>
      </c>
      <c r="K106" s="225">
        <f t="shared" si="25"/>
        <v>9.9999998000000053E-5</v>
      </c>
      <c r="L106" s="225">
        <f t="shared" si="25"/>
        <v>0</v>
      </c>
      <c r="M106" s="225">
        <f t="shared" si="25"/>
        <v>0</v>
      </c>
      <c r="N106" s="225">
        <f t="shared" si="25"/>
        <v>0</v>
      </c>
      <c r="O106" s="225">
        <f t="shared" si="25"/>
        <v>0</v>
      </c>
      <c r="P106" s="225">
        <f t="shared" si="25"/>
        <v>0</v>
      </c>
      <c r="Q106" s="225">
        <f t="shared" si="25"/>
        <v>0</v>
      </c>
      <c r="R106" s="225">
        <f t="shared" si="25"/>
        <v>0</v>
      </c>
      <c r="S106" s="225">
        <f t="shared" si="25"/>
        <v>0</v>
      </c>
    </row>
    <row r="107" spans="1:19" x14ac:dyDescent="0.25">
      <c r="A107" s="102"/>
      <c r="B107" s="210"/>
    </row>
    <row r="108" spans="1:19" x14ac:dyDescent="0.25">
      <c r="A108" s="102"/>
      <c r="B108" s="210"/>
      <c r="G108" s="224" t="s">
        <v>308</v>
      </c>
      <c r="H108" s="224"/>
      <c r="I108" s="224"/>
      <c r="J108" s="224"/>
      <c r="K108" s="224"/>
      <c r="L108" s="224"/>
      <c r="M108" s="224"/>
      <c r="N108" s="224"/>
      <c r="O108" s="224"/>
      <c r="P108" s="224"/>
    </row>
    <row r="109" spans="1:19" x14ac:dyDescent="0.25">
      <c r="A109" s="102"/>
      <c r="B109" s="210"/>
      <c r="H109" s="102" t="s">
        <v>253</v>
      </c>
      <c r="I109" s="102"/>
      <c r="J109" s="102"/>
      <c r="K109" s="102"/>
      <c r="L109" s="102"/>
      <c r="M109" s="102"/>
      <c r="N109" s="102"/>
      <c r="O109" s="102"/>
      <c r="P109" s="102"/>
      <c r="Q109" s="102"/>
      <c r="R109" s="102"/>
      <c r="S109" s="102"/>
    </row>
    <row r="110" spans="1:19" x14ac:dyDescent="0.25">
      <c r="G110" s="150" t="s">
        <v>258</v>
      </c>
      <c r="H110" s="225">
        <f t="shared" ref="H110:S110" si="26">H56/(H33+0.000001)</f>
        <v>0</v>
      </c>
      <c r="I110" s="225">
        <f t="shared" si="26"/>
        <v>0</v>
      </c>
      <c r="J110" s="225">
        <f t="shared" si="26"/>
        <v>0</v>
      </c>
      <c r="K110" s="225">
        <f t="shared" si="26"/>
        <v>0</v>
      </c>
      <c r="L110" s="225">
        <f t="shared" si="26"/>
        <v>0</v>
      </c>
      <c r="M110" s="225">
        <f t="shared" si="26"/>
        <v>0</v>
      </c>
      <c r="N110" s="225">
        <f t="shared" si="26"/>
        <v>0</v>
      </c>
      <c r="O110" s="225">
        <f t="shared" si="26"/>
        <v>0</v>
      </c>
      <c r="P110" s="225">
        <f t="shared" si="26"/>
        <v>0</v>
      </c>
      <c r="Q110" s="225">
        <f t="shared" si="26"/>
        <v>0</v>
      </c>
      <c r="R110" s="225">
        <f t="shared" si="26"/>
        <v>0</v>
      </c>
      <c r="S110" s="225">
        <f t="shared" si="26"/>
        <v>0</v>
      </c>
    </row>
    <row r="111" spans="1:19" x14ac:dyDescent="0.25">
      <c r="G111" s="150" t="s">
        <v>258</v>
      </c>
      <c r="H111" s="227">
        <f t="shared" ref="H111:S111" si="27">H57/(H32+0.000001)</f>
        <v>0</v>
      </c>
      <c r="I111" s="227">
        <f t="shared" si="27"/>
        <v>0</v>
      </c>
      <c r="J111" s="227">
        <f t="shared" si="27"/>
        <v>0</v>
      </c>
      <c r="K111" s="227">
        <f t="shared" si="27"/>
        <v>0</v>
      </c>
      <c r="L111" s="227">
        <f t="shared" si="27"/>
        <v>0</v>
      </c>
      <c r="M111" s="227">
        <f t="shared" si="27"/>
        <v>0</v>
      </c>
      <c r="N111" s="227">
        <f t="shared" si="27"/>
        <v>0</v>
      </c>
      <c r="O111" s="227">
        <f t="shared" si="27"/>
        <v>0</v>
      </c>
      <c r="P111" s="227">
        <f t="shared" si="27"/>
        <v>0</v>
      </c>
      <c r="Q111" s="227">
        <f t="shared" si="27"/>
        <v>0</v>
      </c>
      <c r="R111" s="227">
        <f t="shared" si="27"/>
        <v>0</v>
      </c>
      <c r="S111" s="227">
        <f t="shared" si="27"/>
        <v>0</v>
      </c>
    </row>
    <row r="112" spans="1:19" x14ac:dyDescent="0.25">
      <c r="G112" s="81" t="s">
        <v>257</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256</v>
      </c>
      <c r="H113" s="225">
        <f>IF(H112*MIN(ABS(H110),ABS(H111))&gt;1,0,H112*MIN(ABS(H110),ABS(H111)))</f>
        <v>0</v>
      </c>
      <c r="I113" s="225">
        <f t="shared" ref="I113:S113" si="29">IF(I112*MIN(ABS(I110),ABS(I111))&gt;1,0,I112*MIN(ABS(I110),ABS(I111)))</f>
        <v>0</v>
      </c>
      <c r="J113" s="225">
        <f t="shared" si="29"/>
        <v>0</v>
      </c>
      <c r="K113" s="225">
        <f t="shared" si="29"/>
        <v>0</v>
      </c>
      <c r="L113" s="225">
        <f t="shared" si="29"/>
        <v>0</v>
      </c>
      <c r="M113" s="225">
        <f t="shared" si="29"/>
        <v>0</v>
      </c>
      <c r="N113" s="225">
        <f t="shared" si="29"/>
        <v>0</v>
      </c>
      <c r="O113" s="225">
        <f t="shared" si="29"/>
        <v>0</v>
      </c>
      <c r="P113" s="225">
        <f t="shared" si="29"/>
        <v>0</v>
      </c>
      <c r="Q113" s="225">
        <f t="shared" si="29"/>
        <v>0</v>
      </c>
      <c r="R113" s="225">
        <f t="shared" si="29"/>
        <v>0</v>
      </c>
      <c r="S113" s="225">
        <f t="shared" si="29"/>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15" t="s">
        <v>258</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x14ac:dyDescent="0.25">
      <c r="G117" s="155" t="s">
        <v>257</v>
      </c>
      <c r="H117" s="228">
        <f>SIGN(H115+0.000000000001)*SIGN(H116+0.000000000001)</f>
        <v>1</v>
      </c>
      <c r="I117" s="228">
        <f t="shared" ref="I117:S117" si="32">SIGN(I115+0.000000000001)*SIGN(I116+0.000000000001)</f>
        <v>1</v>
      </c>
      <c r="J117" s="228">
        <f t="shared" si="32"/>
        <v>1</v>
      </c>
      <c r="K117" s="228">
        <f t="shared" si="32"/>
        <v>1</v>
      </c>
      <c r="L117" s="228">
        <f t="shared" si="32"/>
        <v>1</v>
      </c>
      <c r="M117" s="228">
        <f t="shared" si="32"/>
        <v>1</v>
      </c>
      <c r="N117" s="228">
        <f t="shared" si="32"/>
        <v>1</v>
      </c>
      <c r="O117" s="228">
        <f t="shared" si="32"/>
        <v>1</v>
      </c>
      <c r="P117" s="228">
        <f t="shared" si="32"/>
        <v>1</v>
      </c>
      <c r="Q117" s="228">
        <f t="shared" si="32"/>
        <v>1</v>
      </c>
      <c r="R117" s="228">
        <f t="shared" si="32"/>
        <v>1</v>
      </c>
      <c r="S117" s="228">
        <f t="shared" si="32"/>
        <v>1</v>
      </c>
    </row>
    <row r="118" spans="7:19" x14ac:dyDescent="0.25">
      <c r="G118" s="155" t="s">
        <v>256</v>
      </c>
      <c r="H118" s="229">
        <f>IF(H117*MIN(ABS(H115),ABS(H116))&gt;1,0,H117*MIN(ABS(H115),ABS(H116)))</f>
        <v>0</v>
      </c>
      <c r="I118" s="229">
        <f t="shared" ref="I118:S118" si="33">IF(I117*MIN(ABS(I115),ABS(I116))&gt;1,0,I117*MIN(ABS(I115),ABS(I116)))</f>
        <v>0</v>
      </c>
      <c r="J118" s="229">
        <f t="shared" si="33"/>
        <v>0</v>
      </c>
      <c r="K118" s="229">
        <f t="shared" si="33"/>
        <v>0</v>
      </c>
      <c r="L118" s="229">
        <f t="shared" si="33"/>
        <v>0</v>
      </c>
      <c r="M118" s="229">
        <f t="shared" si="33"/>
        <v>0</v>
      </c>
      <c r="N118" s="229">
        <f t="shared" si="33"/>
        <v>0</v>
      </c>
      <c r="O118" s="229">
        <f t="shared" si="33"/>
        <v>0</v>
      </c>
      <c r="P118" s="229">
        <f t="shared" si="33"/>
        <v>0</v>
      </c>
      <c r="Q118" s="229">
        <f t="shared" si="33"/>
        <v>0</v>
      </c>
      <c r="R118" s="229">
        <f t="shared" si="33"/>
        <v>0</v>
      </c>
      <c r="S118" s="229">
        <f t="shared" si="33"/>
        <v>0</v>
      </c>
    </row>
    <row r="119" spans="7:19" x14ac:dyDescent="0.25">
      <c r="H119" s="102" t="s">
        <v>255</v>
      </c>
      <c r="I119" s="102"/>
      <c r="J119" s="102"/>
      <c r="K119" s="102"/>
      <c r="L119" s="102"/>
      <c r="M119" s="102"/>
      <c r="N119" s="102"/>
      <c r="O119" s="102"/>
      <c r="P119" s="102"/>
      <c r="Q119" s="102"/>
      <c r="R119" s="102"/>
      <c r="S119" s="102"/>
    </row>
    <row r="120" spans="7:19" x14ac:dyDescent="0.25">
      <c r="G120" s="150" t="s">
        <v>258</v>
      </c>
      <c r="H120" s="225">
        <f t="shared" ref="H120:S120" si="34">H56/(H31+0.000001)</f>
        <v>0</v>
      </c>
      <c r="I120" s="225">
        <f t="shared" si="34"/>
        <v>0</v>
      </c>
      <c r="J120" s="225">
        <f t="shared" si="34"/>
        <v>0</v>
      </c>
      <c r="K120" s="225">
        <f t="shared" si="34"/>
        <v>0</v>
      </c>
      <c r="L120" s="225">
        <f t="shared" si="34"/>
        <v>0</v>
      </c>
      <c r="M120" s="225">
        <f t="shared" si="34"/>
        <v>0</v>
      </c>
      <c r="N120" s="225">
        <f t="shared" si="34"/>
        <v>0</v>
      </c>
      <c r="O120" s="225">
        <f t="shared" si="34"/>
        <v>0</v>
      </c>
      <c r="P120" s="225">
        <f t="shared" si="34"/>
        <v>0</v>
      </c>
      <c r="Q120" s="225">
        <f t="shared" si="34"/>
        <v>0</v>
      </c>
      <c r="R120" s="225">
        <f t="shared" si="34"/>
        <v>0</v>
      </c>
      <c r="S120" s="225">
        <f t="shared" si="34"/>
        <v>0</v>
      </c>
    </row>
    <row r="121" spans="7:19" x14ac:dyDescent="0.25">
      <c r="G121" s="150" t="s">
        <v>258</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257</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256</v>
      </c>
      <c r="H123" s="225">
        <f>IF(H122*MIN(ABS(H120),ABS(H121))&gt;1,0,H122*MIN(ABS(H120),ABS(H121)))</f>
        <v>0</v>
      </c>
      <c r="I123" s="225">
        <f t="shared" ref="I123:S123" si="37">IF(I122*MIN(ABS(I120),ABS(I121))&gt;1,0,I122*MIN(ABS(I120),ABS(I121)))</f>
        <v>0</v>
      </c>
      <c r="J123" s="225">
        <f t="shared" si="37"/>
        <v>0</v>
      </c>
      <c r="K123" s="225">
        <f t="shared" si="37"/>
        <v>0</v>
      </c>
      <c r="L123" s="225">
        <f t="shared" si="37"/>
        <v>0</v>
      </c>
      <c r="M123" s="225">
        <f t="shared" si="37"/>
        <v>0</v>
      </c>
      <c r="N123" s="225">
        <f t="shared" si="37"/>
        <v>0</v>
      </c>
      <c r="O123" s="225">
        <f t="shared" si="37"/>
        <v>0</v>
      </c>
      <c r="P123" s="225">
        <f t="shared" si="37"/>
        <v>0</v>
      </c>
      <c r="Q123" s="225">
        <f t="shared" si="37"/>
        <v>0</v>
      </c>
      <c r="R123" s="225">
        <f t="shared" si="37"/>
        <v>0</v>
      </c>
      <c r="S123" s="225">
        <f t="shared" si="37"/>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5"/>
      <c r="I126" s="225"/>
      <c r="J126" s="225"/>
      <c r="K126" s="225"/>
      <c r="L126" s="225"/>
      <c r="M126" s="225"/>
      <c r="N126" s="225"/>
      <c r="O126" s="225"/>
      <c r="P126" s="225"/>
      <c r="Q126" s="225"/>
      <c r="R126" s="225"/>
      <c r="S126" s="225"/>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0"/>
  <sheetViews>
    <sheetView zoomScale="85" zoomScaleNormal="85" zoomScalePageLayoutView="75" workbookViewId="0">
      <selection activeCell="C50" sqref="C50"/>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50" customWidth="1"/>
    <col min="10" max="10" width="9.625" style="81" customWidth="1"/>
    <col min="11" max="16384" width="8.875" style="81"/>
  </cols>
  <sheetData>
    <row r="1" spans="1:5" x14ac:dyDescent="0.25">
      <c r="A1" s="81" t="s">
        <v>373</v>
      </c>
    </row>
    <row r="2" spans="1:5" x14ac:dyDescent="0.25">
      <c r="A2" s="82" t="s">
        <v>270</v>
      </c>
    </row>
    <row r="3" spans="1:5" x14ac:dyDescent="0.25">
      <c r="A3" s="102" t="s">
        <v>363</v>
      </c>
      <c r="B3" s="82">
        <v>25</v>
      </c>
      <c r="C3" s="82" t="s">
        <v>200</v>
      </c>
      <c r="D3" s="82" t="s">
        <v>390</v>
      </c>
    </row>
    <row r="4" spans="1:5" x14ac:dyDescent="0.25">
      <c r="A4" s="102" t="s">
        <v>32</v>
      </c>
      <c r="B4" s="82">
        <f>1770*9.8</f>
        <v>17346</v>
      </c>
      <c r="C4" s="82">
        <v>17400</v>
      </c>
      <c r="D4" s="82">
        <v>6.0000000000000001E-3</v>
      </c>
      <c r="E4" s="81" t="s">
        <v>391</v>
      </c>
    </row>
    <row r="5" spans="1:5" x14ac:dyDescent="0.25">
      <c r="A5" s="102" t="s">
        <v>242</v>
      </c>
      <c r="B5" s="82">
        <f>647*1000</f>
        <v>647000</v>
      </c>
      <c r="C5" s="82">
        <f>392*1000</f>
        <v>392000</v>
      </c>
      <c r="D5" s="82">
        <v>1E-3</v>
      </c>
      <c r="E5" s="81" t="s">
        <v>392</v>
      </c>
    </row>
    <row r="6" spans="1:5" x14ac:dyDescent="0.25">
      <c r="A6" s="102" t="s">
        <v>33</v>
      </c>
      <c r="B6" s="82">
        <v>3</v>
      </c>
      <c r="C6" s="82">
        <v>3</v>
      </c>
      <c r="D6" s="82">
        <v>0.02</v>
      </c>
      <c r="E6" s="81" t="s">
        <v>393</v>
      </c>
    </row>
    <row r="7" spans="1:5" x14ac:dyDescent="0.25">
      <c r="A7" s="102" t="s">
        <v>34</v>
      </c>
      <c r="B7" s="82">
        <v>0.01</v>
      </c>
      <c r="C7" s="82">
        <v>0.01</v>
      </c>
      <c r="D7" s="82">
        <v>70000000000</v>
      </c>
      <c r="E7" s="81" t="s">
        <v>394</v>
      </c>
    </row>
    <row r="8" spans="1:5" x14ac:dyDescent="0.25">
      <c r="A8" s="102" t="s">
        <v>288</v>
      </c>
      <c r="B8" s="83">
        <f>C4/(B6*B7)</f>
        <v>580000</v>
      </c>
      <c r="C8" s="83">
        <f>C4/(C6*C7)</f>
        <v>580000</v>
      </c>
      <c r="D8" s="82">
        <v>2.5000000000000001E-2</v>
      </c>
      <c r="E8" s="81" t="s">
        <v>395</v>
      </c>
    </row>
    <row r="9" spans="1:5" x14ac:dyDescent="0.25">
      <c r="A9" s="102" t="s">
        <v>35</v>
      </c>
      <c r="B9" s="82">
        <v>25</v>
      </c>
      <c r="D9" s="82">
        <v>2.5000000000000001E-2</v>
      </c>
      <c r="E9" s="81" t="s">
        <v>396</v>
      </c>
    </row>
    <row r="10" spans="1:5" x14ac:dyDescent="0.25">
      <c r="A10" s="102" t="s">
        <v>243</v>
      </c>
      <c r="B10" s="101">
        <f>B5*B9^2/4</f>
        <v>101093750</v>
      </c>
      <c r="D10" s="287">
        <f>1/12*D5*D4^3</f>
        <v>1.7999999999999999E-11</v>
      </c>
      <c r="E10" s="81" t="s">
        <v>397</v>
      </c>
    </row>
    <row r="11" spans="1:5" x14ac:dyDescent="0.25">
      <c r="A11" s="102" t="s">
        <v>289</v>
      </c>
      <c r="B11" s="101">
        <f>B5*B9^2/12</f>
        <v>33697916.666666664</v>
      </c>
      <c r="D11" s="287">
        <f>1/12*D4*D5^3</f>
        <v>5.0000000000000009E-13</v>
      </c>
      <c r="E11" s="81" t="s">
        <v>398</v>
      </c>
    </row>
    <row r="12" spans="1:5" x14ac:dyDescent="0.25">
      <c r="A12" s="102" t="s">
        <v>290</v>
      </c>
      <c r="B12" s="98">
        <f>B11</f>
        <v>33697916.666666664</v>
      </c>
      <c r="D12" s="287">
        <f>12*D7*D10/D6^3*1/1000</f>
        <v>1889.9999999999995</v>
      </c>
      <c r="E12" s="81" t="s">
        <v>399</v>
      </c>
    </row>
    <row r="13" spans="1:5" x14ac:dyDescent="0.25">
      <c r="A13" s="114" t="s">
        <v>266</v>
      </c>
      <c r="D13" s="287">
        <f>D7*D4*D5/D6/1000</f>
        <v>21000</v>
      </c>
      <c r="E13" s="81" t="s">
        <v>400</v>
      </c>
    </row>
    <row r="14" spans="1:5" x14ac:dyDescent="0.25">
      <c r="A14" s="115" t="s">
        <v>267</v>
      </c>
      <c r="D14" s="287">
        <f>12*D7*D11/D6^3/1000</f>
        <v>52.5</v>
      </c>
      <c r="E14" s="81" t="s">
        <v>401</v>
      </c>
    </row>
    <row r="15" spans="1:5" x14ac:dyDescent="0.25">
      <c r="A15" s="116" t="s">
        <v>269</v>
      </c>
      <c r="B15" s="82">
        <v>18</v>
      </c>
      <c r="D15" s="287">
        <f>D17</f>
        <v>3041.0023132239298</v>
      </c>
      <c r="E15" s="81" t="s">
        <v>402</v>
      </c>
    </row>
    <row r="16" spans="1:5" x14ac:dyDescent="0.25">
      <c r="A16" s="116" t="s">
        <v>233</v>
      </c>
      <c r="B16" s="82">
        <v>2500</v>
      </c>
      <c r="D16" s="287">
        <f>D13*(1000*D5)^2/12*(1-0.3^2)</f>
        <v>1592.5</v>
      </c>
      <c r="E16" s="81" t="s">
        <v>403</v>
      </c>
    </row>
    <row r="17" spans="1:11" x14ac:dyDescent="0.25">
      <c r="A17" s="102" t="s">
        <v>54</v>
      </c>
      <c r="B17" s="117">
        <v>200000</v>
      </c>
      <c r="C17" s="117"/>
      <c r="D17" s="287">
        <f>D13*(1000*D5)^2/12*(1/(2*(1+0.3))*(4+2.52*D5/D4+D4^2/((1-0.3^2)*D6^2+2.4*(1+0.3)*D5^2)))</f>
        <v>3041.0023132239298</v>
      </c>
      <c r="E17" s="81" t="s">
        <v>404</v>
      </c>
    </row>
    <row r="18" spans="1:11" x14ac:dyDescent="0.25">
      <c r="A18" s="116" t="s">
        <v>268</v>
      </c>
      <c r="B18" s="99">
        <f>PI()*B15^2/4*B17/B16</f>
        <v>20357.520395261861</v>
      </c>
      <c r="C18" s="99"/>
      <c r="D18" s="287">
        <f>4*12*D7*D10/D6^3*1/1000</f>
        <v>7559.9999999999982</v>
      </c>
      <c r="E18" s="81" t="s">
        <v>405</v>
      </c>
    </row>
    <row r="19" spans="1:11" s="167" customFormat="1" ht="16.5" thickBot="1" x14ac:dyDescent="0.3">
      <c r="A19" s="172" t="s">
        <v>318</v>
      </c>
      <c r="B19" s="168">
        <v>3</v>
      </c>
      <c r="C19" s="168"/>
      <c r="D19" s="287">
        <f>2*1/2*D12*D9^2*1000</f>
        <v>1181.25</v>
      </c>
      <c r="E19" s="81" t="s">
        <v>406</v>
      </c>
      <c r="F19" s="168"/>
      <c r="I19" s="169"/>
    </row>
    <row r="20" spans="1:11" s="164" customFormat="1" x14ac:dyDescent="0.25">
      <c r="A20" s="163" t="s">
        <v>337</v>
      </c>
      <c r="B20" s="173"/>
      <c r="D20" s="287">
        <f>2*1/2*D12*D8^2*1000</f>
        <v>1181.25</v>
      </c>
      <c r="E20" s="81" t="s">
        <v>407</v>
      </c>
      <c r="F20" s="173"/>
      <c r="G20" s="173"/>
    </row>
    <row r="21" spans="1:11" s="164" customFormat="1" x14ac:dyDescent="0.25">
      <c r="A21" s="163" t="s">
        <v>319</v>
      </c>
      <c r="B21" s="173"/>
      <c r="C21" s="166"/>
      <c r="D21" s="287">
        <f>1/2*D13*D8^2*1000</f>
        <v>6562.5000000000009</v>
      </c>
      <c r="E21" s="81" t="s">
        <v>408</v>
      </c>
      <c r="F21" s="204"/>
      <c r="G21" s="204"/>
      <c r="H21" s="204"/>
      <c r="I21" s="204"/>
      <c r="J21" s="204"/>
      <c r="K21" s="205"/>
    </row>
    <row r="22" spans="1:11" x14ac:dyDescent="0.25">
      <c r="A22" s="162" t="s">
        <v>335</v>
      </c>
      <c r="B22" s="173" t="s">
        <v>310</v>
      </c>
      <c r="C22" s="119" t="s">
        <v>282</v>
      </c>
      <c r="D22" s="231" t="s">
        <v>285</v>
      </c>
      <c r="E22" s="148">
        <f>B28^3/(3*B24*B35)</f>
        <v>0</v>
      </c>
      <c r="F22" s="81">
        <v>0</v>
      </c>
      <c r="G22" s="81">
        <v>0</v>
      </c>
      <c r="H22" s="81">
        <v>0</v>
      </c>
      <c r="I22" s="142">
        <f>E26</f>
        <v>0</v>
      </c>
      <c r="J22" s="81">
        <v>0</v>
      </c>
      <c r="K22" s="85" t="s">
        <v>276</v>
      </c>
    </row>
    <row r="23" spans="1:11" x14ac:dyDescent="0.25">
      <c r="A23" s="162" t="s">
        <v>338</v>
      </c>
      <c r="B23" s="118" t="s">
        <v>311</v>
      </c>
      <c r="C23" s="119" t="s">
        <v>283</v>
      </c>
      <c r="D23" s="232"/>
      <c r="E23" s="81">
        <v>0</v>
      </c>
      <c r="F23" s="142">
        <f>B28^3/(3*B24*B35)</f>
        <v>0</v>
      </c>
      <c r="G23" s="81">
        <v>0</v>
      </c>
      <c r="H23" s="142">
        <f>B28^2/(2*B24*B35)</f>
        <v>0</v>
      </c>
      <c r="I23" s="81">
        <v>0</v>
      </c>
      <c r="J23" s="81">
        <v>0</v>
      </c>
      <c r="K23" s="85" t="s">
        <v>277</v>
      </c>
    </row>
    <row r="24" spans="1:11" x14ac:dyDescent="0.25">
      <c r="A24" s="102" t="s">
        <v>291</v>
      </c>
      <c r="B24" s="99">
        <v>200000</v>
      </c>
      <c r="C24" s="119" t="s">
        <v>284</v>
      </c>
      <c r="D24" s="232"/>
      <c r="E24" s="81">
        <v>0</v>
      </c>
      <c r="F24" s="81">
        <v>0</v>
      </c>
      <c r="G24" s="142">
        <f>B28/(B24*B33)</f>
        <v>0</v>
      </c>
      <c r="H24" s="81">
        <v>0</v>
      </c>
      <c r="I24" s="81">
        <v>0</v>
      </c>
      <c r="J24" s="81">
        <v>0</v>
      </c>
      <c r="K24" s="85" t="s">
        <v>278</v>
      </c>
    </row>
    <row r="25" spans="1:11" x14ac:dyDescent="0.25">
      <c r="A25" s="102" t="s">
        <v>287</v>
      </c>
      <c r="B25" s="82">
        <v>0.28999999999999998</v>
      </c>
      <c r="C25" s="119" t="s">
        <v>273</v>
      </c>
      <c r="D25" s="232"/>
      <c r="E25" s="149"/>
      <c r="F25" s="142">
        <f>H23</f>
        <v>0</v>
      </c>
      <c r="G25" s="81">
        <v>0</v>
      </c>
      <c r="H25" s="142">
        <f>B28/(B24*B35)</f>
        <v>0</v>
      </c>
      <c r="I25" s="81">
        <v>0</v>
      </c>
      <c r="J25" s="81">
        <v>0</v>
      </c>
      <c r="K25" s="85" t="s">
        <v>279</v>
      </c>
    </row>
    <row r="26" spans="1:11" x14ac:dyDescent="0.25">
      <c r="A26" s="102" t="s">
        <v>292</v>
      </c>
      <c r="B26" s="98">
        <f>B24/(2*(1+B25))</f>
        <v>77519.379844961237</v>
      </c>
      <c r="C26" s="119" t="s">
        <v>275</v>
      </c>
      <c r="D26" s="232"/>
      <c r="E26" s="142">
        <f>-1*B29^2/(2*B24*B35)</f>
        <v>0</v>
      </c>
      <c r="F26" s="81">
        <v>0</v>
      </c>
      <c r="G26" s="81">
        <v>0</v>
      </c>
      <c r="H26" s="81">
        <v>0</v>
      </c>
      <c r="I26" s="142">
        <f>B28/(B24*B35)</f>
        <v>0</v>
      </c>
      <c r="J26" s="81">
        <v>0</v>
      </c>
      <c r="K26" s="85" t="s">
        <v>280</v>
      </c>
    </row>
    <row r="27" spans="1:11" x14ac:dyDescent="0.25">
      <c r="A27" s="193" t="s">
        <v>339</v>
      </c>
      <c r="C27" s="119" t="s">
        <v>274</v>
      </c>
      <c r="D27" s="255"/>
      <c r="E27" s="81">
        <v>0</v>
      </c>
      <c r="F27" s="81">
        <v>0</v>
      </c>
      <c r="G27" s="81">
        <v>0</v>
      </c>
      <c r="H27" s="81">
        <v>0</v>
      </c>
      <c r="I27" s="81">
        <v>0</v>
      </c>
      <c r="J27" s="142">
        <f>B29/(B26*B36)</f>
        <v>0</v>
      </c>
      <c r="K27" s="85" t="s">
        <v>281</v>
      </c>
    </row>
    <row r="28" spans="1:11" x14ac:dyDescent="0.25">
      <c r="A28" s="102" t="s">
        <v>342</v>
      </c>
      <c r="B28" s="83">
        <f>ABS('CSs and Loads'!C15)</f>
        <v>0</v>
      </c>
      <c r="C28" s="81"/>
    </row>
    <row r="29" spans="1:11" x14ac:dyDescent="0.25">
      <c r="A29" s="102" t="s">
        <v>233</v>
      </c>
      <c r="B29" s="83">
        <f>B28</f>
        <v>0</v>
      </c>
      <c r="C29" s="81"/>
    </row>
    <row r="30" spans="1:11" x14ac:dyDescent="0.25">
      <c r="A30" s="102" t="s">
        <v>341</v>
      </c>
      <c r="B30" s="82">
        <v>25</v>
      </c>
      <c r="C30" s="98"/>
    </row>
    <row r="31" spans="1:11" x14ac:dyDescent="0.25">
      <c r="A31" s="102" t="s">
        <v>340</v>
      </c>
      <c r="B31" s="161">
        <v>0.5</v>
      </c>
      <c r="C31" s="81"/>
      <c r="H31" s="144"/>
    </row>
    <row r="32" spans="1:11" x14ac:dyDescent="0.25">
      <c r="A32" s="102" t="s">
        <v>271</v>
      </c>
      <c r="B32" s="81"/>
      <c r="C32" s="98"/>
    </row>
    <row r="33" spans="1:11" x14ac:dyDescent="0.25">
      <c r="A33" s="102" t="s">
        <v>272</v>
      </c>
      <c r="B33" s="98">
        <f>B31*PI()*B30^2/4</f>
        <v>245.43692606170259</v>
      </c>
      <c r="C33" s="98"/>
    </row>
    <row r="34" spans="1:11" x14ac:dyDescent="0.25">
      <c r="A34" s="102" t="s">
        <v>314</v>
      </c>
      <c r="B34" s="81"/>
      <c r="C34" s="98"/>
    </row>
    <row r="35" spans="1:11" x14ac:dyDescent="0.25">
      <c r="A35" s="102" t="s">
        <v>315</v>
      </c>
      <c r="B35" s="98">
        <f>B31*PI()*B30^4/64</f>
        <v>9587.3799242852565</v>
      </c>
      <c r="C35" s="99"/>
    </row>
    <row r="36" spans="1:11" x14ac:dyDescent="0.25">
      <c r="A36" s="102" t="s">
        <v>235</v>
      </c>
      <c r="B36" s="98">
        <f>B31*PI()*B30^4/32</f>
        <v>19174.759848570513</v>
      </c>
    </row>
    <row r="37" spans="1:11" x14ac:dyDescent="0.25">
      <c r="A37" s="102" t="s">
        <v>333</v>
      </c>
      <c r="B37" s="98">
        <f>B35/B33</f>
        <v>39.062499999999993</v>
      </c>
      <c r="C37" s="98"/>
    </row>
    <row r="38" spans="1:11" x14ac:dyDescent="0.25">
      <c r="A38" s="102" t="s">
        <v>343</v>
      </c>
      <c r="B38" s="98" t="e">
        <f>3*B24*B35/B29^3</f>
        <v>#DIV/0!</v>
      </c>
      <c r="C38" s="145"/>
    </row>
    <row r="39" spans="1:11" s="167" customFormat="1" ht="16.5" thickBot="1" x14ac:dyDescent="0.3">
      <c r="A39" s="234" t="s">
        <v>348</v>
      </c>
      <c r="B39" s="235"/>
      <c r="C39" s="235"/>
      <c r="D39" s="235"/>
      <c r="E39" s="235"/>
      <c r="F39" s="235"/>
      <c r="G39" s="235"/>
      <c r="H39" s="235"/>
      <c r="I39" s="235"/>
      <c r="J39" s="235"/>
      <c r="K39" s="236"/>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26" zoomScale="150" zoomScaleNormal="150" zoomScalePageLayoutView="150" workbookViewId="0">
      <selection activeCell="F7" sqref="F7"/>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200</v>
      </c>
    </row>
    <row r="11" spans="1:5" x14ac:dyDescent="0.25">
      <c r="A11" s="2" t="s">
        <v>14</v>
      </c>
      <c r="B11" t="s">
        <v>21</v>
      </c>
      <c r="C11" t="s">
        <v>29</v>
      </c>
      <c r="D11" s="1">
        <v>12.7</v>
      </c>
    </row>
    <row r="12" spans="1:5" x14ac:dyDescent="0.25">
      <c r="A12" s="2" t="s">
        <v>17</v>
      </c>
      <c r="B12" t="s">
        <v>22</v>
      </c>
      <c r="C12" t="s">
        <v>30</v>
      </c>
      <c r="D12" s="20">
        <f>S_OD^2-(S_OD-2*S_wall)^2</f>
        <v>9514.8400000000038</v>
      </c>
    </row>
    <row r="13" spans="1:5" x14ac:dyDescent="0.25">
      <c r="A13" s="2" t="s">
        <v>212</v>
      </c>
      <c r="B13" t="s">
        <v>23</v>
      </c>
      <c r="C13" t="s">
        <v>31</v>
      </c>
      <c r="D13" s="25">
        <f>(S_OD^4-(S_OD-2*S_wall)^4)/12</f>
        <v>55887918.314533353</v>
      </c>
    </row>
    <row r="14" spans="1:5" x14ac:dyDescent="0.25">
      <c r="A14" s="2" t="s">
        <v>45</v>
      </c>
      <c r="B14" t="s">
        <v>23</v>
      </c>
      <c r="C14" t="s">
        <v>211</v>
      </c>
      <c r="D14" s="25">
        <f>4*((S_OD-S_wall)^2)^2*S_wall/(4*(S_OD-S_wall))</f>
        <v>83448215.335899994</v>
      </c>
      <c r="E14" s="15"/>
    </row>
    <row r="15" spans="1:5" x14ac:dyDescent="0.25">
      <c r="A15" s="1" t="s">
        <v>215</v>
      </c>
      <c r="B15" t="s">
        <v>21</v>
      </c>
      <c r="C15" t="s">
        <v>219</v>
      </c>
      <c r="D15" s="8">
        <v>25</v>
      </c>
    </row>
    <row r="16" spans="1:5" x14ac:dyDescent="0.25">
      <c r="A16" s="2" t="s">
        <v>216</v>
      </c>
      <c r="D16" s="8"/>
    </row>
    <row r="17" spans="1:4" x14ac:dyDescent="0.25">
      <c r="A17" s="2" t="s">
        <v>217</v>
      </c>
      <c r="B17" t="s">
        <v>21</v>
      </c>
      <c r="C17" t="s">
        <v>220</v>
      </c>
      <c r="D17" s="8">
        <f>S_OD-lgrs</f>
        <v>175</v>
      </c>
    </row>
    <row r="18" spans="1:4" x14ac:dyDescent="0.25">
      <c r="A18" s="2" t="s">
        <v>218</v>
      </c>
      <c r="B18" t="s">
        <v>21</v>
      </c>
      <c r="C18" t="s">
        <v>221</v>
      </c>
      <c r="D18" s="8">
        <f>R_OD+lgrs</f>
        <v>275</v>
      </c>
    </row>
    <row r="19" spans="1:4" x14ac:dyDescent="0.25">
      <c r="A19" s="140" t="s">
        <v>223</v>
      </c>
    </row>
    <row r="20" spans="1:4" x14ac:dyDescent="0.25">
      <c r="A20" s="2" t="s">
        <v>214</v>
      </c>
      <c r="B20" s="91">
        <f>R_Area/S_Area</f>
        <v>0.9950613143310969</v>
      </c>
    </row>
    <row r="21" spans="1:4" x14ac:dyDescent="0.25">
      <c r="A21" s="2" t="s">
        <v>213</v>
      </c>
      <c r="B21" s="91">
        <f>D7/S_I</f>
        <v>1.195861930620602</v>
      </c>
    </row>
    <row r="22" spans="1:4" x14ac:dyDescent="0.25">
      <c r="A22" s="2" t="s">
        <v>47</v>
      </c>
      <c r="B22" s="91">
        <f>R_Ip/S_IP</f>
        <v>1.6018133791108606</v>
      </c>
    </row>
    <row r="23" spans="1:4" x14ac:dyDescent="0.25">
      <c r="A23" s="2" t="s">
        <v>222</v>
      </c>
      <c r="B23" s="8">
        <f>D18/lgst</f>
        <v>1.5714285714285714</v>
      </c>
    </row>
    <row r="30" spans="1:4" x14ac:dyDescent="0.25">
      <c r="A30" s="2" t="s">
        <v>48</v>
      </c>
    </row>
    <row r="31" spans="1:4" x14ac:dyDescent="0.25">
      <c r="A31" t="s">
        <v>12</v>
      </c>
      <c r="B31" t="s">
        <v>18</v>
      </c>
      <c r="C31" t="s">
        <v>20</v>
      </c>
    </row>
    <row r="32" spans="1:4"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212</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
  <sheetViews>
    <sheetView zoomScale="200" zoomScaleNormal="200" zoomScalePageLayoutView="200" workbookViewId="0">
      <selection activeCell="A18" sqref="A18"/>
    </sheetView>
  </sheetViews>
  <sheetFormatPr defaultColWidth="11" defaultRowHeight="15.75" x14ac:dyDescent="0.25"/>
  <cols>
    <col min="1" max="1" width="31.625" customWidth="1"/>
  </cols>
  <sheetData>
    <row r="2" spans="1:2" x14ac:dyDescent="0.25">
      <c r="A2" s="97"/>
      <c r="B2" s="97"/>
    </row>
    <row r="3" spans="1:2" x14ac:dyDescent="0.25">
      <c r="A3" s="97" t="s">
        <v>237</v>
      </c>
      <c r="B3" s="97"/>
    </row>
    <row r="4" spans="1:2" x14ac:dyDescent="0.25">
      <c r="A4" s="100" t="s">
        <v>227</v>
      </c>
      <c r="B4" s="82">
        <v>100</v>
      </c>
    </row>
    <row r="5" spans="1:2" x14ac:dyDescent="0.25">
      <c r="A5" s="100" t="s">
        <v>228</v>
      </c>
      <c r="B5" s="82">
        <v>15</v>
      </c>
    </row>
    <row r="6" spans="1:2" x14ac:dyDescent="0.25">
      <c r="A6" s="100" t="s">
        <v>234</v>
      </c>
      <c r="B6" s="98">
        <f>PI()*(B4^4-(B4-2*B5)^4)/64</f>
        <v>3730150.4022857561</v>
      </c>
    </row>
    <row r="7" spans="1:2" x14ac:dyDescent="0.25">
      <c r="A7" s="100" t="s">
        <v>235</v>
      </c>
      <c r="B7" s="98">
        <f>PI()*(B4^4-(B4-2*B5)^4)/32</f>
        <v>7460300.8045715122</v>
      </c>
    </row>
    <row r="8" spans="1:2" x14ac:dyDescent="0.25">
      <c r="A8" s="100" t="s">
        <v>233</v>
      </c>
      <c r="B8" s="83">
        <f>'CSs and Loads'!C13</f>
        <v>-25</v>
      </c>
    </row>
    <row r="9" spans="1:2" x14ac:dyDescent="0.25">
      <c r="A9" s="100" t="s">
        <v>232</v>
      </c>
      <c r="B9" s="99">
        <v>70000</v>
      </c>
    </row>
    <row r="10" spans="1:2" x14ac:dyDescent="0.25">
      <c r="A10" s="97" t="s">
        <v>236</v>
      </c>
      <c r="B10" s="82"/>
    </row>
    <row r="11" spans="1:2" x14ac:dyDescent="0.25">
      <c r="A11" s="100" t="s">
        <v>231</v>
      </c>
      <c r="B11" s="99">
        <f>B7*B9/B8</f>
        <v>-20888842252.800236</v>
      </c>
    </row>
    <row r="12" spans="1:2" x14ac:dyDescent="0.25">
      <c r="A12" s="100" t="s">
        <v>229</v>
      </c>
      <c r="B12" s="99">
        <f>2*B9*B6/B8</f>
        <v>-20888842252.800236</v>
      </c>
    </row>
    <row r="13" spans="1:2" x14ac:dyDescent="0.25">
      <c r="A13" s="100" t="s">
        <v>230</v>
      </c>
      <c r="B13" s="99">
        <f>B16</f>
        <v>-4.7872447304538662E-11</v>
      </c>
    </row>
    <row r="14" spans="1:2" x14ac:dyDescent="0.25">
      <c r="A14" s="97" t="s">
        <v>238</v>
      </c>
      <c r="B14" s="82"/>
    </row>
    <row r="15" spans="1:2" x14ac:dyDescent="0.25">
      <c r="A15" s="100" t="s">
        <v>239</v>
      </c>
      <c r="B15" s="99">
        <f>1/B11</f>
        <v>-4.7872447304538662E-11</v>
      </c>
    </row>
    <row r="16" spans="1:2" x14ac:dyDescent="0.25">
      <c r="A16" s="100" t="s">
        <v>240</v>
      </c>
      <c r="B16" s="99">
        <f t="shared" ref="B16:B17" si="0">1/B12</f>
        <v>-4.7872447304538662E-11</v>
      </c>
    </row>
    <row r="17" spans="1:2" x14ac:dyDescent="0.25">
      <c r="A17" s="100" t="s">
        <v>241</v>
      </c>
      <c r="B17" s="99">
        <f t="shared" si="0"/>
        <v>-20888842252.800236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D13" sqref="D13"/>
    </sheetView>
  </sheetViews>
  <sheetFormatPr defaultColWidth="11" defaultRowHeight="15.75" x14ac:dyDescent="0.25"/>
  <cols>
    <col min="4" max="4" width="40.625" customWidth="1"/>
  </cols>
  <sheetData>
    <row r="1" spans="1:4" s="1" customFormat="1" x14ac:dyDescent="0.25">
      <c r="A1" s="1" t="s">
        <v>172</v>
      </c>
      <c r="B1" s="1" t="s">
        <v>171</v>
      </c>
      <c r="C1" s="1" t="s">
        <v>169</v>
      </c>
      <c r="D1" s="1" t="s">
        <v>173</v>
      </c>
    </row>
    <row r="2" spans="1:4" x14ac:dyDescent="0.25">
      <c r="A2">
        <v>1</v>
      </c>
      <c r="B2" t="s">
        <v>190</v>
      </c>
      <c r="C2" t="s">
        <v>191</v>
      </c>
      <c r="D2" t="s">
        <v>192</v>
      </c>
    </row>
    <row r="3" spans="1:4" x14ac:dyDescent="0.25">
      <c r="A3">
        <f>A2+1</f>
        <v>2</v>
      </c>
      <c r="B3" t="s">
        <v>196</v>
      </c>
      <c r="C3" t="s">
        <v>191</v>
      </c>
      <c r="D3" t="s">
        <v>197</v>
      </c>
    </row>
    <row r="4" spans="1:4" x14ac:dyDescent="0.25">
      <c r="A4">
        <f t="shared" ref="A4:A33" si="0">A3+1</f>
        <v>3</v>
      </c>
      <c r="B4" t="s">
        <v>198</v>
      </c>
      <c r="C4" t="s">
        <v>191</v>
      </c>
      <c r="D4" t="s">
        <v>199</v>
      </c>
    </row>
    <row r="5" spans="1:4" x14ac:dyDescent="0.25">
      <c r="A5">
        <f t="shared" si="0"/>
        <v>4</v>
      </c>
      <c r="B5" t="s">
        <v>203</v>
      </c>
      <c r="C5" t="s">
        <v>191</v>
      </c>
      <c r="D5" t="s">
        <v>204</v>
      </c>
    </row>
    <row r="6" spans="1:4" x14ac:dyDescent="0.25">
      <c r="A6">
        <f t="shared" si="0"/>
        <v>5</v>
      </c>
      <c r="B6" t="s">
        <v>205</v>
      </c>
      <c r="C6" t="s">
        <v>191</v>
      </c>
      <c r="D6" s="45" t="s">
        <v>208</v>
      </c>
    </row>
    <row r="7" spans="1:4" x14ac:dyDescent="0.25">
      <c r="A7">
        <f t="shared" si="0"/>
        <v>6</v>
      </c>
      <c r="B7" t="s">
        <v>209</v>
      </c>
      <c r="C7" t="s">
        <v>191</v>
      </c>
      <c r="D7" t="s">
        <v>210</v>
      </c>
    </row>
    <row r="8" spans="1:4" x14ac:dyDescent="0.25">
      <c r="A8">
        <f t="shared" si="0"/>
        <v>7</v>
      </c>
      <c r="B8" t="s">
        <v>224</v>
      </c>
      <c r="C8" t="s">
        <v>191</v>
      </c>
      <c r="D8" t="s">
        <v>300</v>
      </c>
    </row>
    <row r="9" spans="1:4" x14ac:dyDescent="0.25">
      <c r="A9">
        <f t="shared" si="0"/>
        <v>8</v>
      </c>
      <c r="B9" t="s">
        <v>301</v>
      </c>
      <c r="C9" t="s">
        <v>191</v>
      </c>
      <c r="D9" t="s">
        <v>302</v>
      </c>
    </row>
    <row r="10" spans="1:4" x14ac:dyDescent="0.25">
      <c r="A10">
        <f t="shared" si="0"/>
        <v>9</v>
      </c>
      <c r="B10" t="s">
        <v>299</v>
      </c>
      <c r="C10" t="s">
        <v>191</v>
      </c>
      <c r="D10" t="s">
        <v>332</v>
      </c>
    </row>
    <row r="11" spans="1:4" x14ac:dyDescent="0.25">
      <c r="A11">
        <f t="shared" si="0"/>
        <v>10</v>
      </c>
      <c r="B11" t="s">
        <v>371</v>
      </c>
      <c r="C11" t="s">
        <v>191</v>
      </c>
      <c r="D11" t="s">
        <v>372</v>
      </c>
    </row>
    <row r="12" spans="1:4" x14ac:dyDescent="0.25">
      <c r="A12">
        <f t="shared" si="0"/>
        <v>11</v>
      </c>
      <c r="B12" s="286">
        <v>42462</v>
      </c>
      <c r="C12" t="s">
        <v>379</v>
      </c>
      <c r="D12" t="s">
        <v>380</v>
      </c>
    </row>
    <row r="13" spans="1:4" x14ac:dyDescent="0.25">
      <c r="A13">
        <f t="shared" si="0"/>
        <v>12</v>
      </c>
    </row>
    <row r="14" spans="1:4" x14ac:dyDescent="0.25">
      <c r="A14">
        <f t="shared" si="0"/>
        <v>13</v>
      </c>
    </row>
    <row r="15" spans="1:4" x14ac:dyDescent="0.25">
      <c r="A15">
        <f t="shared" si="0"/>
        <v>14</v>
      </c>
    </row>
    <row r="16" spans="1:4" x14ac:dyDescent="0.25">
      <c r="A16">
        <f t="shared" si="0"/>
        <v>15</v>
      </c>
    </row>
    <row r="17" spans="1:1" x14ac:dyDescent="0.25">
      <c r="A17">
        <f t="shared" si="0"/>
        <v>16</v>
      </c>
    </row>
    <row r="18" spans="1:1" x14ac:dyDescent="0.25">
      <c r="A18">
        <f t="shared" si="0"/>
        <v>17</v>
      </c>
    </row>
    <row r="19" spans="1:1" x14ac:dyDescent="0.25">
      <c r="A19">
        <f t="shared" si="0"/>
        <v>18</v>
      </c>
    </row>
    <row r="20" spans="1:1" x14ac:dyDescent="0.25">
      <c r="A20">
        <f t="shared" si="0"/>
        <v>19</v>
      </c>
    </row>
    <row r="21" spans="1:1" x14ac:dyDescent="0.25">
      <c r="A21">
        <f t="shared" si="0"/>
        <v>20</v>
      </c>
    </row>
    <row r="22" spans="1:1" x14ac:dyDescent="0.25">
      <c r="A22">
        <f t="shared" si="0"/>
        <v>21</v>
      </c>
    </row>
    <row r="23" spans="1:1" x14ac:dyDescent="0.25">
      <c r="A23">
        <f t="shared" si="0"/>
        <v>22</v>
      </c>
    </row>
    <row r="24" spans="1:1" x14ac:dyDescent="0.25">
      <c r="A24">
        <f t="shared" si="0"/>
        <v>23</v>
      </c>
    </row>
    <row r="25" spans="1:1" x14ac:dyDescent="0.25">
      <c r="A25">
        <f t="shared" si="0"/>
        <v>24</v>
      </c>
    </row>
    <row r="26" spans="1:1" x14ac:dyDescent="0.25">
      <c r="A26">
        <f t="shared" si="0"/>
        <v>25</v>
      </c>
    </row>
    <row r="27" spans="1:1" x14ac:dyDescent="0.25">
      <c r="A27">
        <f t="shared" si="0"/>
        <v>26</v>
      </c>
    </row>
    <row r="28" spans="1:1" x14ac:dyDescent="0.25">
      <c r="A28">
        <f t="shared" si="0"/>
        <v>27</v>
      </c>
    </row>
    <row r="29" spans="1:1" x14ac:dyDescent="0.25">
      <c r="A29">
        <f t="shared" si="0"/>
        <v>28</v>
      </c>
    </row>
    <row r="30" spans="1:1" x14ac:dyDescent="0.25">
      <c r="A30">
        <f t="shared" si="0"/>
        <v>29</v>
      </c>
    </row>
    <row r="31" spans="1:1" x14ac:dyDescent="0.25">
      <c r="A31">
        <f t="shared" si="0"/>
        <v>30</v>
      </c>
    </row>
    <row r="32" spans="1:1" x14ac:dyDescent="0.25">
      <c r="A32">
        <f t="shared" si="0"/>
        <v>31</v>
      </c>
    </row>
    <row r="33" spans="1:1" x14ac:dyDescent="0.25">
      <c r="A33">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6"/>
  <sheetViews>
    <sheetView zoomScaleNormal="100" zoomScalePageLayoutView="75" workbookViewId="0">
      <selection activeCell="H22" sqref="H22"/>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24" t="s">
        <v>158</v>
      </c>
      <c r="B1" s="324"/>
      <c r="C1" s="324"/>
      <c r="D1" s="324"/>
      <c r="E1" s="324"/>
      <c r="F1" s="324"/>
      <c r="G1" s="324"/>
    </row>
    <row r="2" spans="1:28" ht="15" customHeight="1" x14ac:dyDescent="0.25">
      <c r="A2" s="324" t="s">
        <v>175</v>
      </c>
      <c r="B2" s="324"/>
      <c r="C2" s="324"/>
      <c r="D2" s="324"/>
      <c r="E2" s="324"/>
      <c r="F2" s="324"/>
      <c r="G2" s="324"/>
      <c r="H2" s="39"/>
    </row>
    <row r="3" spans="1:28" ht="15" customHeight="1" x14ac:dyDescent="0.25">
      <c r="A3" s="324" t="s">
        <v>161</v>
      </c>
      <c r="B3" s="324"/>
      <c r="C3" s="324"/>
      <c r="D3" s="324"/>
      <c r="E3" s="324"/>
      <c r="F3" s="324"/>
      <c r="G3" s="324"/>
      <c r="H3" s="39"/>
    </row>
    <row r="4" spans="1:28" ht="15" customHeight="1" x14ac:dyDescent="0.25">
      <c r="A4" s="326" t="s">
        <v>163</v>
      </c>
      <c r="B4" s="326"/>
      <c r="C4" s="35" t="s">
        <v>162</v>
      </c>
      <c r="D4" s="1"/>
      <c r="E4" s="39"/>
      <c r="F4" s="39"/>
      <c r="G4" s="39"/>
      <c r="H4" s="39"/>
    </row>
    <row r="5" spans="1:28" ht="15" customHeight="1" x14ac:dyDescent="0.25">
      <c r="A5" s="326" t="s">
        <v>164</v>
      </c>
      <c r="B5" s="326"/>
      <c r="C5" s="44" t="s">
        <v>165</v>
      </c>
      <c r="E5" s="39"/>
      <c r="F5" s="39"/>
      <c r="G5" s="39"/>
      <c r="H5" s="39"/>
    </row>
    <row r="6" spans="1:28" ht="15" customHeight="1" x14ac:dyDescent="0.25">
      <c r="A6" s="34" t="s">
        <v>168</v>
      </c>
      <c r="B6" s="34"/>
      <c r="C6" s="10"/>
      <c r="E6" s="39"/>
      <c r="F6" s="39"/>
      <c r="G6" s="39"/>
      <c r="H6" s="39"/>
    </row>
    <row r="7" spans="1:28" ht="15" customHeight="1" x14ac:dyDescent="0.25">
      <c r="A7" s="34" t="s">
        <v>168</v>
      </c>
      <c r="B7" s="34"/>
      <c r="C7" s="10"/>
      <c r="E7" s="39"/>
      <c r="F7" s="39"/>
      <c r="G7" s="39"/>
      <c r="H7" s="39"/>
    </row>
    <row r="8" spans="1:28" ht="15" customHeight="1" x14ac:dyDescent="0.25">
      <c r="B8" s="39"/>
      <c r="C8" s="39"/>
      <c r="D8" s="39"/>
      <c r="E8" s="39"/>
      <c r="F8" s="39"/>
      <c r="G8" s="39"/>
      <c r="H8" s="39"/>
    </row>
    <row r="10" spans="1:28" x14ac:dyDescent="0.25">
      <c r="A10" s="334" t="s">
        <v>180</v>
      </c>
      <c r="B10" s="334"/>
      <c r="C10" s="37">
        <v>5</v>
      </c>
      <c r="D10" s="335" t="s">
        <v>174</v>
      </c>
      <c r="E10" s="335"/>
      <c r="F10" s="335"/>
      <c r="G10" s="335"/>
      <c r="H10" s="335"/>
    </row>
    <row r="11" spans="1:28" s="52" customFormat="1" ht="16.5" thickBot="1" x14ac:dyDescent="0.3">
      <c r="A11" s="59"/>
      <c r="B11" s="52" t="s">
        <v>181</v>
      </c>
    </row>
    <row r="12" spans="1:28" ht="15" customHeight="1" x14ac:dyDescent="0.25">
      <c r="A12" s="338" t="s">
        <v>320</v>
      </c>
      <c r="B12" s="68" t="s">
        <v>248</v>
      </c>
      <c r="E12" s="1" t="s">
        <v>140</v>
      </c>
    </row>
    <row r="13" spans="1:28" x14ac:dyDescent="0.25">
      <c r="A13" s="338"/>
      <c r="B13" s="12" t="s">
        <v>73</v>
      </c>
      <c r="C13" s="36">
        <v>-25</v>
      </c>
      <c r="E13" s="324" t="s">
        <v>138</v>
      </c>
      <c r="F13" s="324"/>
      <c r="G13" s="324" t="s">
        <v>139</v>
      </c>
      <c r="H13" s="324"/>
      <c r="N13" s="34" t="s">
        <v>98</v>
      </c>
      <c r="O13" s="1"/>
      <c r="P13" s="67"/>
      <c r="Q13" s="1"/>
      <c r="R13" s="1"/>
      <c r="S13" s="34" t="s">
        <v>136</v>
      </c>
      <c r="Y13" s="34" t="s">
        <v>297</v>
      </c>
    </row>
    <row r="14" spans="1:28" x14ac:dyDescent="0.25">
      <c r="A14" s="338"/>
      <c r="B14" s="12" t="s">
        <v>74</v>
      </c>
      <c r="C14" s="36">
        <v>30</v>
      </c>
      <c r="E14" s="46" t="s">
        <v>84</v>
      </c>
      <c r="F14" s="48">
        <f>'CS_1 X stage'!B45</f>
        <v>9.9999999999999995E-7</v>
      </c>
      <c r="G14" s="46" t="s">
        <v>84</v>
      </c>
      <c r="H14" s="48">
        <f>'CS_1 X stage'!B52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38"/>
      <c r="B15" s="12" t="s">
        <v>75</v>
      </c>
      <c r="C15" s="36">
        <v>0</v>
      </c>
      <c r="E15" s="46" t="s">
        <v>112</v>
      </c>
      <c r="F15" s="48">
        <f>'CS_1 X stage'!B46</f>
        <v>1E-4</v>
      </c>
      <c r="G15" s="46" t="s">
        <v>112</v>
      </c>
      <c r="H15" s="48">
        <f>'CS_1 X stage'!B53</f>
        <v>0</v>
      </c>
      <c r="N15" s="46" t="s">
        <v>84</v>
      </c>
      <c r="O15" s="50">
        <f>ABS(F14)</f>
        <v>9.9999999999999995E-7</v>
      </c>
      <c r="P15" s="50">
        <f>ABS(F17*O29)</f>
        <v>0</v>
      </c>
      <c r="Q15" s="50">
        <f>ABS(F18*P29)</f>
        <v>9.8424372768155305E-9</v>
      </c>
      <c r="R15" s="50">
        <f>ABS(F19*Q29)</f>
        <v>2.3523229168632645E-4</v>
      </c>
      <c r="S15" s="46" t="s">
        <v>84</v>
      </c>
      <c r="T15" s="49">
        <f t="array" ref="T15:W18">ABS(MMULT(T33:W36,O15:R18))</f>
        <v>9.9999999999999995E-7</v>
      </c>
      <c r="U15" s="49">
        <v>0</v>
      </c>
      <c r="V15" s="49">
        <v>9.8424372768155305E-9</v>
      </c>
      <c r="W15" s="49">
        <v>2.3523229168632645E-4</v>
      </c>
      <c r="X15" s="70" t="s">
        <v>84</v>
      </c>
      <c r="Y15" s="49">
        <f>F21+F28</f>
        <v>3.8190954896845764E-5</v>
      </c>
      <c r="Z15" s="29">
        <f>F24*O29</f>
        <v>0</v>
      </c>
      <c r="AA15" s="29">
        <f>F25*P29</f>
        <v>0</v>
      </c>
      <c r="AB15" s="29">
        <f>F26*Q29</f>
        <v>-3.4477235567719174E-3</v>
      </c>
    </row>
    <row r="16" spans="1:28" ht="15" customHeight="1" x14ac:dyDescent="0.25">
      <c r="A16" s="60">
        <v>1</v>
      </c>
      <c r="B16" s="1" t="s">
        <v>76</v>
      </c>
      <c r="C16" s="13"/>
      <c r="E16" s="46" t="s">
        <v>113</v>
      </c>
      <c r="F16" s="48">
        <f>'CS_1 X stage'!B47</f>
        <v>9.9999999999999995E-7</v>
      </c>
      <c r="G16" s="46" t="s">
        <v>113</v>
      </c>
      <c r="H16" s="48">
        <f>'CS_1 X stage'!B54</f>
        <v>0</v>
      </c>
      <c r="N16" s="46" t="s">
        <v>112</v>
      </c>
      <c r="O16" s="50">
        <f t="shared" ref="O16:O17" si="0">ABS(F15)</f>
        <v>1E-4</v>
      </c>
      <c r="P16" s="50">
        <f>ABS(F17*O30)</f>
        <v>1.1810925197192484E-6</v>
      </c>
      <c r="Q16" s="50">
        <f>ABS(F18*P30)</f>
        <v>0</v>
      </c>
      <c r="R16" s="50">
        <f>ABS(F19*Q30)</f>
        <v>1.9802820539701737E-4</v>
      </c>
      <c r="S16" s="46" t="s">
        <v>112</v>
      </c>
      <c r="T16" s="49">
        <v>1E-4</v>
      </c>
      <c r="U16" s="49">
        <v>1.1810925197192484E-6</v>
      </c>
      <c r="V16" s="49">
        <v>0</v>
      </c>
      <c r="W16" s="49">
        <v>1.9802820539701737E-4</v>
      </c>
      <c r="X16" s="70" t="s">
        <v>112</v>
      </c>
      <c r="Y16" s="49">
        <f t="shared" ref="Y16:Y17" si="1">F22+F29</f>
        <v>-2.3223697089947092E-3</v>
      </c>
      <c r="Z16" s="29">
        <f>F24*O30</f>
        <v>0</v>
      </c>
      <c r="AA16" s="29">
        <f>F25*P30</f>
        <v>0</v>
      </c>
      <c r="AB16" s="29">
        <f>F26*Q30</f>
        <v>-2.9024353066414103E-3</v>
      </c>
    </row>
    <row r="17" spans="1:59" ht="15" customHeight="1" x14ac:dyDescent="0.25">
      <c r="A17" s="43">
        <f>IF(A16&gt;Naxes,0,1)</f>
        <v>1</v>
      </c>
      <c r="B17" s="2" t="s">
        <v>176</v>
      </c>
      <c r="C17" s="37">
        <v>0</v>
      </c>
      <c r="E17" s="4" t="s">
        <v>85</v>
      </c>
      <c r="F17" s="48">
        <f>'CS_1 X stage'!B48</f>
        <v>7.8740157480315692E-6</v>
      </c>
      <c r="G17" s="4" t="s">
        <v>85</v>
      </c>
      <c r="H17" s="48">
        <f>'CS_1 X stage'!B55</f>
        <v>0</v>
      </c>
      <c r="N17" s="46" t="s">
        <v>113</v>
      </c>
      <c r="O17" s="50">
        <f t="shared" si="0"/>
        <v>9.9999999999999995E-7</v>
      </c>
      <c r="P17" s="50">
        <f>ABS(F17*O31)</f>
        <v>2.3621653545275806E-4</v>
      </c>
      <c r="Q17" s="50">
        <f>ABS(F18*P31)</f>
        <v>1.9684710512741189E-6</v>
      </c>
      <c r="R17" s="50">
        <f>ABS(F19*Q31)</f>
        <v>0</v>
      </c>
      <c r="S17" s="46" t="s">
        <v>113</v>
      </c>
      <c r="T17" s="49">
        <v>9.9999999999999995E-7</v>
      </c>
      <c r="U17" s="49">
        <v>2.3621653545275806E-4</v>
      </c>
      <c r="V17" s="49">
        <v>1.9684710512741189E-6</v>
      </c>
      <c r="W17" s="49">
        <v>0</v>
      </c>
      <c r="X17" s="70" t="s">
        <v>113</v>
      </c>
      <c r="Y17" s="49">
        <f t="shared" si="1"/>
        <v>0</v>
      </c>
      <c r="Z17" s="29">
        <f>F24*O31</f>
        <v>0</v>
      </c>
      <c r="AA17" s="29">
        <f>F25*P31</f>
        <v>0</v>
      </c>
      <c r="AB17" s="29">
        <f>F26*Q31</f>
        <v>0</v>
      </c>
    </row>
    <row r="18" spans="1:59" ht="15" customHeight="1" x14ac:dyDescent="0.25">
      <c r="A18" s="336" t="s">
        <v>127</v>
      </c>
      <c r="B18" s="2" t="s">
        <v>178</v>
      </c>
      <c r="C18" s="37">
        <v>0</v>
      </c>
      <c r="E18" s="4" t="s">
        <v>86</v>
      </c>
      <c r="F18" s="48">
        <f>'CS_1 X stage'!B49</f>
        <v>7.8740154380309434E-8</v>
      </c>
      <c r="G18" s="4" t="s">
        <v>86</v>
      </c>
      <c r="H18" s="48">
        <f>'CS_1 X stage'!B56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36"/>
      <c r="B19" s="2" t="s">
        <v>177</v>
      </c>
      <c r="C19" s="37">
        <v>0</v>
      </c>
      <c r="D19" s="349" t="s">
        <v>179</v>
      </c>
      <c r="E19" s="4" t="s">
        <v>87</v>
      </c>
      <c r="F19" s="48">
        <f>'CS_1 X stage'!B50</f>
        <v>7.8740157480315692E-6</v>
      </c>
      <c r="G19" s="4" t="s">
        <v>87</v>
      </c>
      <c r="H19" s="48">
        <f>'CS_1 X stage'!B57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36"/>
      <c r="B20" s="2" t="s">
        <v>244</v>
      </c>
      <c r="C20" s="38">
        <v>60</v>
      </c>
      <c r="D20" s="349"/>
      <c r="E20" s="337" t="s">
        <v>303</v>
      </c>
      <c r="F20" s="337"/>
      <c r="G20" s="324" t="s">
        <v>250</v>
      </c>
      <c r="H20" s="324"/>
      <c r="I20" s="337" t="s">
        <v>306</v>
      </c>
      <c r="J20" s="337"/>
      <c r="K20" s="337" t="s">
        <v>304</v>
      </c>
      <c r="L20" s="337"/>
      <c r="M20" s="67"/>
      <c r="N20" s="34" t="s">
        <v>99</v>
      </c>
      <c r="O20" s="1"/>
      <c r="P20" s="67"/>
      <c r="Q20" s="1"/>
      <c r="R20" s="1"/>
      <c r="S20" s="34" t="s">
        <v>137</v>
      </c>
      <c r="X20" s="6"/>
      <c r="Y20" s="34" t="s">
        <v>296</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36"/>
      <c r="B21" s="2" t="s">
        <v>77</v>
      </c>
      <c r="C21" s="38">
        <v>6</v>
      </c>
      <c r="D21" s="349"/>
      <c r="E21" s="46" t="s">
        <v>84</v>
      </c>
      <c r="F21" s="49">
        <f>E37/IF(H21=0,1000000000000,H21)</f>
        <v>1.9095477448422882E-5</v>
      </c>
      <c r="G21" s="4" t="s">
        <v>117</v>
      </c>
      <c r="H21" s="113">
        <f>'CS_1 X stage'!B25</f>
        <v>157105.26265200943</v>
      </c>
      <c r="I21" s="4" t="s">
        <v>85</v>
      </c>
      <c r="J21" s="49">
        <f>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50" t="s">
        <v>413</v>
      </c>
      <c r="B22" s="2" t="s">
        <v>107</v>
      </c>
      <c r="C22" s="37">
        <v>0</v>
      </c>
      <c r="D22" s="349"/>
      <c r="E22" s="46" t="s">
        <v>112</v>
      </c>
      <c r="F22" s="49">
        <f t="shared" ref="F22:F23" si="2">E38/IF(H22=0,1000000000000,H22)</f>
        <v>-1.1611848544973546E-3</v>
      </c>
      <c r="G22" s="4" t="s">
        <v>118</v>
      </c>
      <c r="H22" s="29">
        <f>'CS_1 X stage'!B26</f>
        <v>8611.8932410022935</v>
      </c>
      <c r="I22" s="4" t="s">
        <v>86</v>
      </c>
      <c r="J22" s="49">
        <f t="shared" ref="J22:J23" si="3">F65</f>
        <v>0</v>
      </c>
      <c r="K22" s="4" t="s">
        <v>86</v>
      </c>
      <c r="L22" s="139">
        <v>0</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3.8190954896845764E-5</v>
      </c>
      <c r="Z22" s="29">
        <f t="array" ref="Z22:Z25">MMULT(T33:W36,Z15:Z18)</f>
        <v>0</v>
      </c>
      <c r="AA22" s="29">
        <f t="array" ref="AA22:AA25">MMULT(T33:W36,AA15:AA18)</f>
        <v>0</v>
      </c>
      <c r="AB22" s="29">
        <f t="array" ref="AB22:AB25">MMULT(T33:W36,AB15:AB18)</f>
        <v>-3.4477235567719174E-3</v>
      </c>
    </row>
    <row r="23" spans="1:59" ht="15" customHeight="1" x14ac:dyDescent="0.25">
      <c r="A23" s="351"/>
      <c r="B23" s="34" t="s">
        <v>78</v>
      </c>
      <c r="E23" s="46" t="s">
        <v>113</v>
      </c>
      <c r="F23" s="49">
        <f t="shared" si="2"/>
        <v>0</v>
      </c>
      <c r="G23" s="4" t="s">
        <v>119</v>
      </c>
      <c r="H23" s="29">
        <f>'CS_1 X stage'!B27</f>
        <v>66141.732283464575</v>
      </c>
      <c r="I23" s="4" t="s">
        <v>87</v>
      </c>
      <c r="J23" s="49">
        <f t="shared" si="3"/>
        <v>4.0800000000000005E-7</v>
      </c>
      <c r="K23" s="4" t="s">
        <v>87</v>
      </c>
      <c r="L23" s="139">
        <v>4.0800000000000005E-7</v>
      </c>
      <c r="N23" s="46" t="s">
        <v>112</v>
      </c>
      <c r="O23" s="50">
        <f>H15</f>
        <v>0</v>
      </c>
      <c r="P23" s="50">
        <f>H17*O30</f>
        <v>0</v>
      </c>
      <c r="Q23" s="50">
        <f>H18*P30</f>
        <v>0</v>
      </c>
      <c r="R23" s="50">
        <f>H19*Q30</f>
        <v>0</v>
      </c>
      <c r="S23" s="46" t="s">
        <v>112</v>
      </c>
      <c r="T23" s="50">
        <v>0</v>
      </c>
      <c r="U23" s="50">
        <v>0</v>
      </c>
      <c r="V23" s="50">
        <v>0</v>
      </c>
      <c r="W23" s="50">
        <v>0</v>
      </c>
      <c r="X23" s="70" t="s">
        <v>112</v>
      </c>
      <c r="Y23" s="29">
        <v>-2.3223697089947092E-3</v>
      </c>
      <c r="Z23" s="29">
        <v>0</v>
      </c>
      <c r="AA23" s="29">
        <v>0</v>
      </c>
      <c r="AB23" s="29">
        <v>-2.9024353066414103E-3</v>
      </c>
    </row>
    <row r="24" spans="1:59" ht="15" customHeight="1" x14ac:dyDescent="0.25">
      <c r="A24" s="351"/>
      <c r="B24" s="12" t="s">
        <v>79</v>
      </c>
      <c r="C24" s="31">
        <f>AC33+C20</f>
        <v>35</v>
      </c>
      <c r="E24" s="4" t="s">
        <v>85</v>
      </c>
      <c r="F24" s="49">
        <f>E41/IF(H24=0,1000000000000,H24)+L21</f>
        <v>0</v>
      </c>
      <c r="G24" s="46" t="s">
        <v>8</v>
      </c>
      <c r="H24" s="29">
        <f>'CS_1 X stage'!B29</f>
        <v>1391317.6551835714</v>
      </c>
      <c r="I24" s="4" t="s">
        <v>305</v>
      </c>
      <c r="J24" s="29">
        <v>1</v>
      </c>
      <c r="K24" s="4" t="s">
        <v>305</v>
      </c>
      <c r="L24" s="139">
        <v>1</v>
      </c>
      <c r="N24" s="46" t="s">
        <v>113</v>
      </c>
      <c r="O24" s="50">
        <f>H16</f>
        <v>0</v>
      </c>
      <c r="P24" s="50">
        <f>H17*O31</f>
        <v>0</v>
      </c>
      <c r="Q24" s="50">
        <f>H18*P31</f>
        <v>0</v>
      </c>
      <c r="R24" s="50">
        <f>H19*Q31</f>
        <v>0</v>
      </c>
      <c r="S24" s="46" t="s">
        <v>113</v>
      </c>
      <c r="T24" s="50">
        <v>0</v>
      </c>
      <c r="U24" s="50">
        <v>0</v>
      </c>
      <c r="V24" s="50">
        <v>0</v>
      </c>
      <c r="W24" s="50">
        <v>0</v>
      </c>
      <c r="X24" s="70" t="s">
        <v>113</v>
      </c>
      <c r="Y24" s="29">
        <v>0</v>
      </c>
      <c r="Z24" s="29">
        <v>0</v>
      </c>
      <c r="AA24" s="29">
        <v>0</v>
      </c>
      <c r="AB24" s="29">
        <v>0</v>
      </c>
    </row>
    <row r="25" spans="1:59" ht="15" customHeight="1" x14ac:dyDescent="0.25">
      <c r="A25" s="351"/>
      <c r="B25" s="12" t="s">
        <v>80</v>
      </c>
      <c r="C25" s="31">
        <f>AC34+C21</f>
        <v>36</v>
      </c>
      <c r="E25" s="4" t="s">
        <v>86</v>
      </c>
      <c r="F25" s="49">
        <f t="shared" ref="F25:F26" si="4">E42/IF(H25=0,1000000000000,H25)+L22</f>
        <v>0</v>
      </c>
      <c r="G25" s="46" t="s">
        <v>120</v>
      </c>
      <c r="H25" s="29">
        <f>'CS_1 X stage'!B30</f>
        <v>10673387.795275591</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51"/>
      <c r="B26" s="12" t="s">
        <v>81</v>
      </c>
      <c r="C26" s="31">
        <f>AC35+C22</f>
        <v>0</v>
      </c>
      <c r="E26" s="4" t="s">
        <v>87</v>
      </c>
      <c r="F26" s="49">
        <f t="shared" si="4"/>
        <v>1.1540690007425334E-4</v>
      </c>
      <c r="G26" s="46" t="s">
        <v>116</v>
      </c>
      <c r="H26" s="29">
        <f>'CS_1 X stage'!B31</f>
        <v>1391317.6551835714</v>
      </c>
      <c r="K26" s="46"/>
      <c r="L26" s="46"/>
      <c r="S26" s="33"/>
      <c r="V26" s="5"/>
      <c r="AA26" s="5"/>
      <c r="AG26" s="5"/>
      <c r="AU26" s="5" t="s">
        <v>67</v>
      </c>
      <c r="AZ26" s="5" t="s">
        <v>92</v>
      </c>
      <c r="BE26" s="5" t="s">
        <v>97</v>
      </c>
    </row>
    <row r="27" spans="1:59" x14ac:dyDescent="0.25">
      <c r="A27" s="351"/>
      <c r="B27" s="69" t="s">
        <v>183</v>
      </c>
      <c r="E27" s="95" t="s">
        <v>294</v>
      </c>
      <c r="G27" s="345" t="s">
        <v>293</v>
      </c>
      <c r="H27" s="346"/>
      <c r="I27" s="346"/>
      <c r="J27" s="346"/>
      <c r="K27" s="346"/>
      <c r="L27" s="347"/>
      <c r="M27" s="94" t="s">
        <v>295</v>
      </c>
      <c r="N27" s="85" t="s">
        <v>247</v>
      </c>
      <c r="O27" s="81"/>
      <c r="P27" s="81"/>
      <c r="Q27" s="81"/>
      <c r="R27" s="81"/>
      <c r="S27" s="81"/>
      <c r="AA27" s="8"/>
      <c r="AE27" t="s">
        <v>226</v>
      </c>
      <c r="AF27" s="92">
        <v>0.01</v>
      </c>
      <c r="AJ27" t="s">
        <v>93</v>
      </c>
      <c r="AK27" s="93">
        <v>0.01</v>
      </c>
      <c r="AL27" s="7"/>
      <c r="AM27" s="7"/>
      <c r="AO27" t="s">
        <v>225</v>
      </c>
      <c r="AP27" s="92">
        <v>0.01</v>
      </c>
      <c r="AU27" s="7" t="s">
        <v>0</v>
      </c>
      <c r="AV27" s="7" t="s">
        <v>1</v>
      </c>
      <c r="AW27" s="7" t="s">
        <v>2</v>
      </c>
      <c r="AZ27" s="7" t="s">
        <v>0</v>
      </c>
      <c r="BA27" s="7" t="s">
        <v>1</v>
      </c>
      <c r="BB27" s="7" t="s">
        <v>2</v>
      </c>
      <c r="BE27" s="7" t="s">
        <v>0</v>
      </c>
      <c r="BF27" s="7" t="s">
        <v>1</v>
      </c>
      <c r="BG27" s="7" t="s">
        <v>2</v>
      </c>
    </row>
    <row r="28" spans="1:59" ht="17.100000000000001" customHeight="1" x14ac:dyDescent="0.25">
      <c r="A28" s="351"/>
      <c r="B28" s="41" t="s">
        <v>100</v>
      </c>
      <c r="C28" s="42">
        <v>3</v>
      </c>
      <c r="E28" s="46" t="s">
        <v>84</v>
      </c>
      <c r="F28" s="49">
        <f t="array" ref="F28:F33">MMULT(G28:L33,M28:M33)</f>
        <v>1.9095477448422882E-5</v>
      </c>
      <c r="G28" s="132">
        <f>'CS_1 X stage'!J5</f>
        <v>6.365159149474294E-6</v>
      </c>
      <c r="H28" s="132">
        <f>'CS_1 X stage'!K5</f>
        <v>0</v>
      </c>
      <c r="I28" s="132">
        <f>'CS_1 X stage'!L5</f>
        <v>0</v>
      </c>
      <c r="J28" s="132">
        <f>'CS_1 X stage'!M5</f>
        <v>0</v>
      </c>
      <c r="K28" s="132">
        <f>'CS_1 X stage'!N5</f>
        <v>0</v>
      </c>
      <c r="L28" s="132">
        <f>'CS_1 X stage'!O5</f>
        <v>0</v>
      </c>
      <c r="M28" s="29">
        <f>C28</f>
        <v>3</v>
      </c>
      <c r="N28" s="81"/>
      <c r="O28" s="86" t="s">
        <v>4</v>
      </c>
      <c r="P28" s="87" t="s">
        <v>5</v>
      </c>
      <c r="Q28" s="87" t="s">
        <v>6</v>
      </c>
      <c r="R28" s="87"/>
      <c r="S28" s="87"/>
      <c r="T28" s="26"/>
      <c r="U28" s="26"/>
      <c r="V28" s="26"/>
      <c r="W28" s="26"/>
      <c r="X28" s="26"/>
      <c r="Y28" s="26"/>
      <c r="Z28" s="26"/>
      <c r="AA28" s="26"/>
      <c r="AB28" t="s">
        <v>66</v>
      </c>
      <c r="AC28" s="29">
        <f>C13</f>
        <v>-25</v>
      </c>
      <c r="AD28" s="29"/>
      <c r="AE28" s="78">
        <v>1</v>
      </c>
      <c r="AF28" s="49">
        <v>0</v>
      </c>
      <c r="AG28" s="49">
        <v>0</v>
      </c>
      <c r="AH28" s="79">
        <v>0</v>
      </c>
      <c r="AI28" s="80"/>
      <c r="AJ28" s="49">
        <f>COS(AK27)</f>
        <v>0.99995000041666526</v>
      </c>
      <c r="AK28" s="49">
        <v>0</v>
      </c>
      <c r="AL28" s="49">
        <f>-AJ30</f>
        <v>9.9998333341666645E-3</v>
      </c>
      <c r="AM28" s="49">
        <v>0</v>
      </c>
      <c r="AN28" s="80"/>
      <c r="AO28" s="49">
        <f>COS(AP27)</f>
        <v>0.99995000041666526</v>
      </c>
      <c r="AP28" s="49">
        <f>-AO29</f>
        <v>-9.9998333341666645E-3</v>
      </c>
      <c r="AQ28" s="49">
        <v>0</v>
      </c>
      <c r="AR28" s="49">
        <v>0</v>
      </c>
      <c r="AS28" s="80"/>
      <c r="AT28" s="29" t="s">
        <v>63</v>
      </c>
      <c r="AU28" s="49">
        <f t="array" ref="AU28:AU31">MMULT(AE28:AH31,$AC28:$AC31)</f>
        <v>-25</v>
      </c>
      <c r="AV28" s="49">
        <f>AU28-$AC28</f>
        <v>0</v>
      </c>
      <c r="AW28" s="49">
        <f>AV28/AF27</f>
        <v>0</v>
      </c>
      <c r="AX28" s="80"/>
      <c r="AY28" s="29" t="s">
        <v>63</v>
      </c>
      <c r="AZ28" s="49">
        <f t="array" ref="AZ28:AZ31">MMULT(AJ28:AM31,$AC28:$AC31)</f>
        <v>-24.998750010416632</v>
      </c>
      <c r="BA28" s="49">
        <f>AZ28-$AC28</f>
        <v>1.2499895833677499E-3</v>
      </c>
      <c r="BB28" s="49">
        <f>BA28/AK27</f>
        <v>0.12499895833677499</v>
      </c>
      <c r="BC28" s="80"/>
      <c r="BD28" s="29" t="s">
        <v>63</v>
      </c>
      <c r="BE28" s="49">
        <f t="array" ref="BE28:BE31">MMULT(AO28:AR31,$AC28:$AC31)</f>
        <v>-25.298745010441632</v>
      </c>
      <c r="BF28" s="49">
        <f>BE28-$AC28</f>
        <v>-0.29874501044163182</v>
      </c>
      <c r="BG28" s="49">
        <f>BF28/AP27</f>
        <v>-29.874501044163182</v>
      </c>
    </row>
    <row r="29" spans="1:59" x14ac:dyDescent="0.25">
      <c r="A29" s="351"/>
      <c r="B29" s="41" t="s">
        <v>101</v>
      </c>
      <c r="C29" s="42">
        <v>-10</v>
      </c>
      <c r="E29" s="46" t="s">
        <v>112</v>
      </c>
      <c r="F29" s="49">
        <v>-1.1611848544973546E-3</v>
      </c>
      <c r="G29" s="132">
        <f>'CS_1 X stage'!J6</f>
        <v>0</v>
      </c>
      <c r="H29" s="132">
        <f>'CS_1 X stage'!K6</f>
        <v>1.1611848544973547E-4</v>
      </c>
      <c r="I29" s="132">
        <f>'CS_1 X stage'!L6</f>
        <v>0</v>
      </c>
      <c r="J29" s="132">
        <f>'CS_1 X stage'!M6</f>
        <v>0</v>
      </c>
      <c r="K29" s="132">
        <f>'CS_1 X stage'!N6</f>
        <v>0</v>
      </c>
      <c r="L29" s="132">
        <f>'CS_1 X stage'!O6</f>
        <v>0</v>
      </c>
      <c r="M29" s="29">
        <f t="shared" ref="M29:M30" si="5">C29</f>
        <v>-10</v>
      </c>
      <c r="N29" s="88" t="s">
        <v>84</v>
      </c>
      <c r="O29" s="89">
        <f>AW28</f>
        <v>0</v>
      </c>
      <c r="P29" s="89">
        <f>BB28</f>
        <v>0.12499895833677499</v>
      </c>
      <c r="Q29" s="89">
        <f>BG28</f>
        <v>-29.874501044163182</v>
      </c>
      <c r="R29" s="81"/>
      <c r="S29" s="81"/>
      <c r="AB29" t="s">
        <v>71</v>
      </c>
      <c r="AC29" s="29">
        <f>C14</f>
        <v>30</v>
      </c>
      <c r="AD29" s="29"/>
      <c r="AE29" s="78">
        <v>0</v>
      </c>
      <c r="AF29" s="49">
        <f>COS(AF27)</f>
        <v>0.99995000041666526</v>
      </c>
      <c r="AG29" s="49">
        <f>-SIN(AF27)</f>
        <v>-9.9998333341666645E-3</v>
      </c>
      <c r="AH29" s="79">
        <v>0</v>
      </c>
      <c r="AI29" s="80"/>
      <c r="AJ29" s="49">
        <v>0</v>
      </c>
      <c r="AK29" s="49">
        <v>1</v>
      </c>
      <c r="AL29" s="49">
        <v>0</v>
      </c>
      <c r="AM29" s="49">
        <v>0</v>
      </c>
      <c r="AN29" s="80"/>
      <c r="AO29" s="49">
        <f>SIN(AP27)</f>
        <v>9.9998333341666645E-3</v>
      </c>
      <c r="AP29" s="49">
        <f>AO28</f>
        <v>0.99995000041666526</v>
      </c>
      <c r="AQ29" s="49">
        <v>0</v>
      </c>
      <c r="AR29" s="49">
        <v>0</v>
      </c>
      <c r="AS29" s="80"/>
      <c r="AT29" s="29" t="s">
        <v>64</v>
      </c>
      <c r="AU29" s="49">
        <v>29.998500012499957</v>
      </c>
      <c r="AV29" s="49">
        <f>AU29-$AC29</f>
        <v>-1.4999875000434315E-3</v>
      </c>
      <c r="AW29" s="49">
        <f>AV29/AF27</f>
        <v>-0.14999875000434315</v>
      </c>
      <c r="AX29" s="80"/>
      <c r="AY29" s="29" t="s">
        <v>64</v>
      </c>
      <c r="AZ29" s="49">
        <v>30</v>
      </c>
      <c r="BA29" s="49">
        <f>AZ29-$AC29</f>
        <v>0</v>
      </c>
      <c r="BB29" s="49">
        <f>BA29/AK27</f>
        <v>0</v>
      </c>
      <c r="BC29" s="80"/>
      <c r="BD29" s="29" t="s">
        <v>64</v>
      </c>
      <c r="BE29" s="49">
        <v>29.74850417914579</v>
      </c>
      <c r="BF29" s="49">
        <f>BE29-$AC29</f>
        <v>-0.25149582085420974</v>
      </c>
      <c r="BG29" s="49">
        <f>BF29/AP27</f>
        <v>-25.149582085420974</v>
      </c>
    </row>
    <row r="30" spans="1:59" x14ac:dyDescent="0.25">
      <c r="A30" s="351"/>
      <c r="B30" s="41" t="s">
        <v>102</v>
      </c>
      <c r="C30" s="42">
        <v>0</v>
      </c>
      <c r="E30" s="46" t="s">
        <v>113</v>
      </c>
      <c r="F30" s="49">
        <v>0</v>
      </c>
      <c r="G30" s="132">
        <f>'CS_1 X stage'!J7</f>
        <v>0</v>
      </c>
      <c r="H30" s="132">
        <f>'CS_1 X stage'!K7</f>
        <v>0</v>
      </c>
      <c r="I30" s="132">
        <f>'CS_1 X stage'!L7</f>
        <v>1.5119047619047616E-5</v>
      </c>
      <c r="J30" s="132">
        <f>'CS_1 X stage'!M7</f>
        <v>0</v>
      </c>
      <c r="K30" s="132">
        <f>'CS_1 X stage'!N7</f>
        <v>0</v>
      </c>
      <c r="L30" s="132">
        <f>'CS_1 X stage'!O7</f>
        <v>0</v>
      </c>
      <c r="M30" s="29">
        <f t="shared" si="5"/>
        <v>0</v>
      </c>
      <c r="N30" s="88" t="s">
        <v>112</v>
      </c>
      <c r="O30" s="89">
        <f t="shared" ref="O30:O31" si="6">AW29</f>
        <v>-0.14999875000434315</v>
      </c>
      <c r="P30" s="89">
        <f t="shared" ref="P30:P31" si="7">BB29</f>
        <v>0</v>
      </c>
      <c r="Q30" s="89">
        <f t="shared" ref="Q30:Q31" si="8">BG29</f>
        <v>-25.149582085420974</v>
      </c>
      <c r="R30" s="81"/>
      <c r="S30" s="81"/>
      <c r="AB30" t="s">
        <v>72</v>
      </c>
      <c r="AC30" s="29">
        <f>C15</f>
        <v>0</v>
      </c>
      <c r="AD30" s="29"/>
      <c r="AE30" s="78">
        <v>0</v>
      </c>
      <c r="AF30" s="49">
        <f>-AG29</f>
        <v>9.9998333341666645E-3</v>
      </c>
      <c r="AG30" s="49">
        <f>AF29</f>
        <v>0.99995000041666526</v>
      </c>
      <c r="AH30" s="79">
        <v>0</v>
      </c>
      <c r="AI30" s="80"/>
      <c r="AJ30" s="49">
        <f>-SIN(AK27)</f>
        <v>-9.9998333341666645E-3</v>
      </c>
      <c r="AK30" s="49">
        <v>0</v>
      </c>
      <c r="AL30" s="49">
        <f>COS(AK27)</f>
        <v>0.99995000041666526</v>
      </c>
      <c r="AM30" s="49">
        <v>0</v>
      </c>
      <c r="AN30" s="80"/>
      <c r="AO30" s="49">
        <v>0</v>
      </c>
      <c r="AP30" s="49">
        <v>0</v>
      </c>
      <c r="AQ30" s="49">
        <v>1</v>
      </c>
      <c r="AR30" s="49">
        <v>0</v>
      </c>
      <c r="AS30" s="80"/>
      <c r="AT30" s="29" t="s">
        <v>65</v>
      </c>
      <c r="AU30" s="49">
        <v>0.29999500002499996</v>
      </c>
      <c r="AV30" s="49">
        <f>AU30-$AC30</f>
        <v>0.29999500002499996</v>
      </c>
      <c r="AW30" s="49">
        <f>AV30/AF27</f>
        <v>29.999500002499996</v>
      </c>
      <c r="AX30" s="80"/>
      <c r="AY30" s="29" t="s">
        <v>65</v>
      </c>
      <c r="AZ30" s="49">
        <v>0.24999583335416661</v>
      </c>
      <c r="BA30" s="49">
        <f>AZ30-$AC30</f>
        <v>0.24999583335416661</v>
      </c>
      <c r="BB30" s="49">
        <f>BA30/AK27</f>
        <v>24.999583335416659</v>
      </c>
      <c r="BC30" s="80"/>
      <c r="BD30" s="29" t="s">
        <v>65</v>
      </c>
      <c r="BE30" s="49">
        <v>0</v>
      </c>
      <c r="BF30" s="49">
        <f>BE30-$AC30</f>
        <v>0</v>
      </c>
      <c r="BG30" s="49">
        <f>BF30/AP27</f>
        <v>0</v>
      </c>
    </row>
    <row r="31" spans="1:59" ht="15" customHeight="1" x14ac:dyDescent="0.25">
      <c r="A31" s="351"/>
      <c r="B31" s="41" t="s">
        <v>108</v>
      </c>
      <c r="C31" s="43">
        <v>1</v>
      </c>
      <c r="E31" s="4" t="s">
        <v>85</v>
      </c>
      <c r="F31" s="49">
        <v>0</v>
      </c>
      <c r="G31" s="132">
        <f>'CS_1 X stage'!J8</f>
        <v>0</v>
      </c>
      <c r="H31" s="132">
        <f>'CS_1 X stage'!K8</f>
        <v>0</v>
      </c>
      <c r="I31" s="132">
        <f>'CS_1 X stage'!L8</f>
        <v>0</v>
      </c>
      <c r="J31" s="132">
        <f>'CS_1 X stage'!M8</f>
        <v>7.1993604966045921E-7</v>
      </c>
      <c r="K31" s="132">
        <f>'CS_1 X stage'!N8</f>
        <v>0</v>
      </c>
      <c r="L31" s="132">
        <f>'CS_1 X stage'!O8</f>
        <v>0</v>
      </c>
      <c r="M31" s="29">
        <f>C32</f>
        <v>0</v>
      </c>
      <c r="N31" s="88" t="s">
        <v>113</v>
      </c>
      <c r="O31" s="89">
        <f t="shared" si="6"/>
        <v>29.999500002499996</v>
      </c>
      <c r="P31" s="89">
        <f t="shared" si="7"/>
        <v>24.999583335416659</v>
      </c>
      <c r="Q31" s="89">
        <f t="shared" si="8"/>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51"/>
      <c r="B32" s="41" t="s">
        <v>103</v>
      </c>
      <c r="C32" s="42">
        <v>0</v>
      </c>
      <c r="E32" s="4" t="s">
        <v>86</v>
      </c>
      <c r="F32" s="49">
        <v>0</v>
      </c>
      <c r="G32" s="132">
        <f>'CS_1 X stage'!J9</f>
        <v>0</v>
      </c>
      <c r="H32" s="132">
        <f>'CS_1 X stage'!K9</f>
        <v>0</v>
      </c>
      <c r="I32" s="132">
        <f>'CS_1 X stage'!L9</f>
        <v>0</v>
      </c>
      <c r="J32" s="132">
        <f>'CS_1 X stage'!M9</f>
        <v>0</v>
      </c>
      <c r="K32" s="132">
        <f>'CS_1 X stage'!N9</f>
        <v>9.3701973127454605E-8</v>
      </c>
      <c r="L32" s="132">
        <f>'CS_1 X stage'!O9</f>
        <v>0</v>
      </c>
      <c r="M32" s="29">
        <f>C33</f>
        <v>0</v>
      </c>
      <c r="O32" s="3" t="s">
        <v>82</v>
      </c>
      <c r="T32" s="3" t="s">
        <v>83</v>
      </c>
      <c r="AE32" t="s">
        <v>95</v>
      </c>
      <c r="AJ32" t="s">
        <v>94</v>
      </c>
      <c r="AO32" t="s">
        <v>96</v>
      </c>
    </row>
    <row r="33" spans="1:71" ht="15" customHeight="1" x14ac:dyDescent="0.25">
      <c r="A33" s="351"/>
      <c r="B33" s="41" t="s">
        <v>104</v>
      </c>
      <c r="C33" s="42">
        <v>0</v>
      </c>
      <c r="E33" s="4" t="s">
        <v>87</v>
      </c>
      <c r="F33" s="49">
        <v>0</v>
      </c>
      <c r="G33" s="132">
        <f>'CS_1 X stage'!J10</f>
        <v>0</v>
      </c>
      <c r="H33" s="132">
        <f>'CS_1 X stage'!K10</f>
        <v>0</v>
      </c>
      <c r="I33" s="132">
        <f>'CS_1 X stage'!L10</f>
        <v>0</v>
      </c>
      <c r="J33" s="132">
        <f>'CS_1 X stage'!M10</f>
        <v>0</v>
      </c>
      <c r="K33" s="132">
        <f>'CS_1 X stage'!N10</f>
        <v>0</v>
      </c>
      <c r="L33" s="132">
        <f>'CS_1 X stage'!O10</f>
        <v>7.1993604966045921E-7</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-25</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51"/>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30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51"/>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51"/>
      <c r="B36" s="160" t="s">
        <v>331</v>
      </c>
      <c r="C36" s="40"/>
      <c r="D36" s="103" t="s">
        <v>245</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51"/>
      <c r="B37" s="41" t="s">
        <v>100</v>
      </c>
      <c r="C37" s="42">
        <v>0</v>
      </c>
      <c r="D37" s="41" t="s">
        <v>100</v>
      </c>
      <c r="E37" s="43">
        <f>C28+C37</f>
        <v>3</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51"/>
      <c r="B38" s="41" t="s">
        <v>101</v>
      </c>
      <c r="C38" s="42">
        <v>0</v>
      </c>
      <c r="D38" s="41" t="s">
        <v>101</v>
      </c>
      <c r="E38" s="43">
        <f>C29+C38</f>
        <v>-10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51"/>
      <c r="B39" s="41" t="s">
        <v>102</v>
      </c>
      <c r="C39" s="42">
        <v>0</v>
      </c>
      <c r="D39" s="41" t="s">
        <v>102</v>
      </c>
      <c r="E39" s="43">
        <f>C30+C39</f>
        <v>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51"/>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51"/>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51"/>
      <c r="B42" s="41" t="s">
        <v>104</v>
      </c>
      <c r="C42" s="42">
        <v>0</v>
      </c>
      <c r="D42" s="41" t="s">
        <v>104</v>
      </c>
      <c r="E42" s="43">
        <f>C33+C42+C28*C15-C30*C13</f>
        <v>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51"/>
      <c r="B43" s="130" t="s">
        <v>105</v>
      </c>
      <c r="C43" s="133">
        <v>0</v>
      </c>
      <c r="D43" s="41" t="s">
        <v>105</v>
      </c>
      <c r="E43" s="43">
        <f>C34+C43+C29*C13-C28*C14</f>
        <v>160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52"/>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38" t="s">
        <v>321</v>
      </c>
      <c r="B45" s="68" t="s">
        <v>249</v>
      </c>
      <c r="E45" s="1" t="s">
        <v>141</v>
      </c>
    </row>
    <row r="46" spans="1:71" ht="15" customHeight="1" x14ac:dyDescent="0.25">
      <c r="A46" s="338"/>
      <c r="B46" s="12" t="s">
        <v>73</v>
      </c>
      <c r="C46" s="56">
        <f>C24</f>
        <v>35</v>
      </c>
      <c r="E46" s="324" t="s">
        <v>138</v>
      </c>
      <c r="F46" s="324"/>
      <c r="G46" s="324" t="s">
        <v>139</v>
      </c>
      <c r="H46" s="324"/>
      <c r="N46" s="34" t="s">
        <v>98</v>
      </c>
      <c r="O46" s="1"/>
      <c r="P46" s="67"/>
      <c r="Q46" s="1"/>
      <c r="R46" s="1"/>
      <c r="S46" s="34" t="s">
        <v>136</v>
      </c>
      <c r="Y46" s="95" t="s">
        <v>297</v>
      </c>
    </row>
    <row r="47" spans="1:71" ht="15" customHeight="1" x14ac:dyDescent="0.25">
      <c r="A47" s="338"/>
      <c r="B47" s="12" t="s">
        <v>74</v>
      </c>
      <c r="C47" s="56">
        <f>C25</f>
        <v>36</v>
      </c>
      <c r="E47" s="46" t="s">
        <v>84</v>
      </c>
      <c r="F47" s="48">
        <f>'CS_2 Y column'!B45</f>
        <v>0</v>
      </c>
      <c r="G47" s="46" t="s">
        <v>84</v>
      </c>
      <c r="H47" s="48">
        <f>'CS_2 Y column'!B52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38"/>
      <c r="B48" s="12" t="s">
        <v>75</v>
      </c>
      <c r="C48" s="56">
        <f>C26</f>
        <v>0</v>
      </c>
      <c r="E48" s="46" t="s">
        <v>112</v>
      </c>
      <c r="F48" s="48">
        <f>'CS_2 Y column'!B46</f>
        <v>0</v>
      </c>
      <c r="G48" s="46" t="s">
        <v>112</v>
      </c>
      <c r="H48" s="48">
        <f>'CS_2 Y column'!B53</f>
        <v>0</v>
      </c>
      <c r="N48" s="46" t="s">
        <v>84</v>
      </c>
      <c r="O48" s="50">
        <f>ABS(F47)</f>
        <v>0</v>
      </c>
      <c r="P48" s="50">
        <f>ABS(F50*O62)</f>
        <v>0</v>
      </c>
      <c r="Q48" s="50">
        <f>ABS(F51*P62)</f>
        <v>0</v>
      </c>
      <c r="R48" s="50">
        <f>ABS(F52*Q62)</f>
        <v>0</v>
      </c>
      <c r="S48" s="46" t="s">
        <v>84</v>
      </c>
      <c r="T48" s="49">
        <f t="array" ref="T48:W51">ABS(MMULT(T66:W69,O48:R51))</f>
        <v>0</v>
      </c>
      <c r="U48" s="49">
        <v>0</v>
      </c>
      <c r="V48" s="49">
        <v>0</v>
      </c>
      <c r="W48" s="49">
        <v>0</v>
      </c>
      <c r="X48" s="70" t="s">
        <v>84</v>
      </c>
      <c r="Y48" s="49">
        <f>F54+F61</f>
        <v>7.7283000000000019E-6</v>
      </c>
      <c r="Z48" s="29">
        <f>F57*O62</f>
        <v>0</v>
      </c>
      <c r="AA48" s="29">
        <f>F58*P62</f>
        <v>0</v>
      </c>
      <c r="AB48" s="29">
        <f>F59*Q62</f>
        <v>1.1426093813726783E-9</v>
      </c>
    </row>
    <row r="49" spans="1:59" ht="15" customHeight="1" x14ac:dyDescent="0.25">
      <c r="A49" s="60">
        <v>2</v>
      </c>
      <c r="B49" s="1" t="s">
        <v>76</v>
      </c>
      <c r="E49" s="46" t="s">
        <v>113</v>
      </c>
      <c r="F49" s="48">
        <f>'CS_2 Y column'!B47</f>
        <v>0</v>
      </c>
      <c r="G49" s="46" t="s">
        <v>113</v>
      </c>
      <c r="H49" s="48">
        <f>'CS_2 Y column'!B54</f>
        <v>0</v>
      </c>
      <c r="N49" s="46" t="s">
        <v>112</v>
      </c>
      <c r="O49" s="50">
        <f t="shared" ref="O49:O50" si="9">ABS(F48)</f>
        <v>0</v>
      </c>
      <c r="P49" s="50">
        <f>ABS(F50*O63)</f>
        <v>0</v>
      </c>
      <c r="Q49" s="50">
        <f>ABS(F51*P63)</f>
        <v>0</v>
      </c>
      <c r="R49" s="50">
        <f>ABS(F52*Q63)</f>
        <v>0</v>
      </c>
      <c r="S49" s="46" t="s">
        <v>112</v>
      </c>
      <c r="T49" s="49">
        <v>0</v>
      </c>
      <c r="U49" s="49">
        <v>0</v>
      </c>
      <c r="V49" s="49">
        <v>0</v>
      </c>
      <c r="W49" s="49">
        <v>0</v>
      </c>
      <c r="X49" s="70" t="s">
        <v>112</v>
      </c>
      <c r="Y49" s="49">
        <f t="shared" ref="Y49:Y50" si="10">F55+F62</f>
        <v>-4.0009999999999995E-6</v>
      </c>
      <c r="Z49" s="29">
        <f>F57*O63</f>
        <v>0</v>
      </c>
      <c r="AA49" s="29">
        <f>F58*P63</f>
        <v>0</v>
      </c>
      <c r="AB49" s="29">
        <f>F59*Q63</f>
        <v>-1.099810790367914E-9</v>
      </c>
    </row>
    <row r="50" spans="1:59" ht="15" customHeight="1" x14ac:dyDescent="0.25">
      <c r="A50" s="43">
        <f>IF(A49&gt;Naxes,0,1)</f>
        <v>1</v>
      </c>
      <c r="B50" s="2" t="s">
        <v>176</v>
      </c>
      <c r="C50" s="37">
        <v>0</v>
      </c>
      <c r="E50" s="4" t="s">
        <v>85</v>
      </c>
      <c r="F50" s="48">
        <f>'CS_2 Y column'!B48</f>
        <v>0</v>
      </c>
      <c r="G50" s="4" t="s">
        <v>85</v>
      </c>
      <c r="H50" s="48">
        <f>'CS_2 Y column'!B55</f>
        <v>0</v>
      </c>
      <c r="N50" s="46" t="s">
        <v>113</v>
      </c>
      <c r="O50" s="50">
        <f t="shared" si="9"/>
        <v>0</v>
      </c>
      <c r="P50" s="50">
        <f>ABS(F50*O64)</f>
        <v>0</v>
      </c>
      <c r="Q50" s="50">
        <f>ABS(F51*P64)</f>
        <v>0</v>
      </c>
      <c r="R50" s="50">
        <f>ABS(F52*Q64)</f>
        <v>0</v>
      </c>
      <c r="S50" s="46" t="s">
        <v>113</v>
      </c>
      <c r="T50" s="49">
        <v>0</v>
      </c>
      <c r="U50" s="49">
        <v>0</v>
      </c>
      <c r="V50" s="49">
        <v>0</v>
      </c>
      <c r="W50" s="49">
        <v>0</v>
      </c>
      <c r="X50" s="70" t="s">
        <v>113</v>
      </c>
      <c r="Y50" s="49">
        <f t="shared" si="10"/>
        <v>0</v>
      </c>
      <c r="Z50" s="29">
        <f>F57*O64</f>
        <v>0</v>
      </c>
      <c r="AA50" s="29">
        <f>F58*P64</f>
        <v>0</v>
      </c>
      <c r="AB50" s="29">
        <f>F59*Q64</f>
        <v>0</v>
      </c>
    </row>
    <row r="51" spans="1:59" ht="15" customHeight="1" x14ac:dyDescent="0.25">
      <c r="A51" s="336" t="s">
        <v>127</v>
      </c>
      <c r="B51" s="2" t="s">
        <v>178</v>
      </c>
      <c r="C51" s="37">
        <v>0</v>
      </c>
      <c r="E51" s="4" t="s">
        <v>86</v>
      </c>
      <c r="F51" s="48">
        <f>'CS_2 Y column'!B49</f>
        <v>0</v>
      </c>
      <c r="G51" s="4" t="s">
        <v>86</v>
      </c>
      <c r="H51" s="48">
        <f>'CS_2 Y column'!B56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36"/>
      <c r="B52" s="2" t="s">
        <v>177</v>
      </c>
      <c r="C52" s="37">
        <v>0</v>
      </c>
      <c r="E52" s="4" t="s">
        <v>87</v>
      </c>
      <c r="F52" s="48">
        <f>'CS_2 Y column'!B50</f>
        <v>0</v>
      </c>
      <c r="G52" s="4" t="s">
        <v>87</v>
      </c>
      <c r="H52" s="48">
        <f>'CS_2 Y column'!B57</f>
        <v>0</v>
      </c>
      <c r="X52" s="6"/>
    </row>
    <row r="53" spans="1:59" ht="30" customHeight="1" x14ac:dyDescent="0.25">
      <c r="A53" s="336"/>
      <c r="B53" s="2" t="s">
        <v>244</v>
      </c>
      <c r="C53" s="37">
        <v>-15</v>
      </c>
      <c r="E53" s="337" t="s">
        <v>303</v>
      </c>
      <c r="F53" s="337"/>
      <c r="G53" s="324" t="s">
        <v>250</v>
      </c>
      <c r="H53" s="324"/>
      <c r="I53" s="337" t="s">
        <v>306</v>
      </c>
      <c r="J53" s="337"/>
      <c r="K53" s="337" t="s">
        <v>304</v>
      </c>
      <c r="L53" s="337"/>
      <c r="N53" s="34" t="s">
        <v>99</v>
      </c>
      <c r="O53" s="1"/>
      <c r="P53" s="67"/>
      <c r="Q53" s="1"/>
      <c r="R53" s="1"/>
      <c r="S53" s="34" t="s">
        <v>137</v>
      </c>
      <c r="X53" s="6"/>
      <c r="Y53" s="95" t="s">
        <v>296</v>
      </c>
    </row>
    <row r="54" spans="1:59" ht="15" customHeight="1" x14ac:dyDescent="0.25">
      <c r="A54" s="336"/>
      <c r="B54" s="2" t="s">
        <v>77</v>
      </c>
      <c r="C54" s="38">
        <v>-35</v>
      </c>
      <c r="E54" s="46" t="s">
        <v>84</v>
      </c>
      <c r="F54" s="49">
        <f>E70/IF(H54=0,1000000000000,H54)</f>
        <v>3E-10</v>
      </c>
      <c r="G54" s="4" t="s">
        <v>117</v>
      </c>
      <c r="H54" s="29">
        <f>'CS_2 Y column'!B25</f>
        <v>10000000000</v>
      </c>
      <c r="I54" s="4" t="s">
        <v>85</v>
      </c>
      <c r="J54" s="49">
        <f>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48" t="s">
        <v>411</v>
      </c>
      <c r="B55" s="2" t="s">
        <v>107</v>
      </c>
      <c r="C55" s="38">
        <v>0</v>
      </c>
      <c r="E55" s="46" t="s">
        <v>112</v>
      </c>
      <c r="F55" s="49">
        <f t="shared" ref="F55:F56" si="11">E71/IF(H55=0,1000000000000,H55)</f>
        <v>-1.0000000000000001E-9</v>
      </c>
      <c r="G55" s="4" t="s">
        <v>118</v>
      </c>
      <c r="H55" s="29">
        <f>'CS_2 Y column'!B26</f>
        <v>10000000000</v>
      </c>
      <c r="I55" s="4" t="s">
        <v>86</v>
      </c>
      <c r="J55" s="49">
        <f t="shared" ref="J55:J56" si="12">F98</f>
        <v>0</v>
      </c>
      <c r="K55" s="4" t="s">
        <v>86</v>
      </c>
      <c r="L55" s="139">
        <v>0</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7.7283000000000019E-6</v>
      </c>
      <c r="Z55" s="29">
        <f t="array" ref="Z55:Z58">MMULT(T66:W69,Z48:Z51)</f>
        <v>0</v>
      </c>
      <c r="AA55" s="29">
        <f t="array" ref="AA55:AA58">MMULT(T66:W69,AA48:AA51)</f>
        <v>0</v>
      </c>
      <c r="AB55" s="29">
        <f t="array" ref="AB55:AB58">MMULT(T66:W69,AB48:AB51)</f>
        <v>1.1426093813726783E-9</v>
      </c>
    </row>
    <row r="56" spans="1:59" ht="15" customHeight="1" x14ac:dyDescent="0.25">
      <c r="A56" s="342"/>
      <c r="B56" s="34" t="s">
        <v>78</v>
      </c>
      <c r="E56" s="46" t="s">
        <v>113</v>
      </c>
      <c r="F56" s="49">
        <f t="shared" si="11"/>
        <v>0</v>
      </c>
      <c r="G56" s="4" t="s">
        <v>119</v>
      </c>
      <c r="H56" s="29">
        <f>'CS_2 Y column'!B27</f>
        <v>10000000000</v>
      </c>
      <c r="I56" s="4" t="s">
        <v>87</v>
      </c>
      <c r="J56" s="49">
        <f t="shared" si="12"/>
        <v>0</v>
      </c>
      <c r="K56" s="4" t="s">
        <v>87</v>
      </c>
      <c r="L56" s="139">
        <v>0</v>
      </c>
      <c r="N56" s="46" t="s">
        <v>112</v>
      </c>
      <c r="O56" s="50">
        <f>H48</f>
        <v>0</v>
      </c>
      <c r="P56" s="50">
        <f>H50*O63</f>
        <v>0</v>
      </c>
      <c r="Q56" s="50">
        <f>H51*P63</f>
        <v>0</v>
      </c>
      <c r="R56" s="50">
        <f>H52*Q63</f>
        <v>0</v>
      </c>
      <c r="S56" s="46" t="s">
        <v>112</v>
      </c>
      <c r="T56" s="50">
        <v>0</v>
      </c>
      <c r="U56" s="50">
        <v>0</v>
      </c>
      <c r="V56" s="50">
        <v>0</v>
      </c>
      <c r="W56" s="50">
        <v>0</v>
      </c>
      <c r="X56" s="70" t="s">
        <v>112</v>
      </c>
      <c r="Y56" s="29">
        <v>-4.0009999999999995E-6</v>
      </c>
      <c r="Z56" s="29">
        <v>0</v>
      </c>
      <c r="AA56" s="29">
        <v>0</v>
      </c>
      <c r="AB56" s="29">
        <v>-1.099810790367914E-9</v>
      </c>
    </row>
    <row r="57" spans="1:59" ht="15" customHeight="1" x14ac:dyDescent="0.25">
      <c r="A57" s="342"/>
      <c r="B57" s="12" t="s">
        <v>79</v>
      </c>
      <c r="C57" s="31">
        <f>AC66+C53</f>
        <v>20</v>
      </c>
      <c r="E57" s="4" t="s">
        <v>85</v>
      </c>
      <c r="F57" s="49">
        <f>E74/IF(H57=0,1000000000000,H57)+L54</f>
        <v>0</v>
      </c>
      <c r="G57" s="46" t="s">
        <v>8</v>
      </c>
      <c r="H57" s="29">
        <f>'CS_2 Y column'!B29</f>
        <v>12250101093750</v>
      </c>
      <c r="I57" s="4" t="s">
        <v>305</v>
      </c>
      <c r="J57" s="29">
        <v>1</v>
      </c>
      <c r="K57" s="4" t="s">
        <v>305</v>
      </c>
      <c r="L57" s="139">
        <v>1</v>
      </c>
      <c r="N57" s="46" t="s">
        <v>113</v>
      </c>
      <c r="O57" s="50">
        <f>H49</f>
        <v>0</v>
      </c>
      <c r="P57" s="50">
        <f>H50*O64</f>
        <v>0</v>
      </c>
      <c r="Q57" s="50">
        <f>H51*P64</f>
        <v>0</v>
      </c>
      <c r="R57" s="50">
        <f>H52*Q64</f>
        <v>0</v>
      </c>
      <c r="S57" s="46" t="s">
        <v>113</v>
      </c>
      <c r="T57" s="50">
        <v>0</v>
      </c>
      <c r="U57" s="50">
        <v>0</v>
      </c>
      <c r="V57" s="50">
        <v>0</v>
      </c>
      <c r="W57" s="50">
        <v>0</v>
      </c>
      <c r="X57" s="70" t="s">
        <v>113</v>
      </c>
      <c r="Y57" s="29">
        <v>0</v>
      </c>
      <c r="Z57" s="29">
        <v>0</v>
      </c>
      <c r="AA57" s="29">
        <v>0</v>
      </c>
      <c r="AB57" s="29">
        <v>0</v>
      </c>
    </row>
    <row r="58" spans="1:59" ht="15" customHeight="1" x14ac:dyDescent="0.25">
      <c r="A58" s="342"/>
      <c r="B58" s="12" t="s">
        <v>80</v>
      </c>
      <c r="C58" s="31">
        <f>AC67+C54</f>
        <v>1</v>
      </c>
      <c r="E58" s="4" t="s">
        <v>86</v>
      </c>
      <c r="F58" s="49">
        <f t="shared" ref="F58:F59" si="13">E75/IF(H58=0,1000000000000,H58)+L55</f>
        <v>0</v>
      </c>
      <c r="G58" s="46" t="s">
        <v>120</v>
      </c>
      <c r="H58" s="29">
        <f>'CS_2 Y column'!B30</f>
        <v>2250033697916.6665</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42"/>
      <c r="B59" s="12" t="s">
        <v>81</v>
      </c>
      <c r="C59" s="31">
        <f>AC68+C55</f>
        <v>0</v>
      </c>
      <c r="E59" s="4" t="s">
        <v>87</v>
      </c>
      <c r="F59" s="49">
        <f t="shared" si="13"/>
        <v>-3.1586133490559024E-11</v>
      </c>
      <c r="G59" s="46" t="s">
        <v>116</v>
      </c>
      <c r="H59" s="29">
        <f>'CS_2 Y column'!B31</f>
        <v>14500033697916.666</v>
      </c>
      <c r="AB59" s="5"/>
      <c r="AU59" s="5" t="s">
        <v>67</v>
      </c>
      <c r="AZ59" s="5" t="s">
        <v>92</v>
      </c>
      <c r="BE59" s="5" t="s">
        <v>97</v>
      </c>
    </row>
    <row r="60" spans="1:59" ht="31.5" x14ac:dyDescent="0.25">
      <c r="A60" s="342"/>
      <c r="B60" s="69" t="s">
        <v>106</v>
      </c>
      <c r="E60" s="324" t="s">
        <v>294</v>
      </c>
      <c r="F60" s="344"/>
      <c r="G60" s="345" t="s">
        <v>293</v>
      </c>
      <c r="H60" s="346"/>
      <c r="I60" s="346"/>
      <c r="J60" s="346"/>
      <c r="K60" s="346"/>
      <c r="L60" s="347"/>
      <c r="M60" s="94" t="s">
        <v>295</v>
      </c>
      <c r="N60" s="85" t="s">
        <v>247</v>
      </c>
      <c r="AE60" t="s">
        <v>226</v>
      </c>
      <c r="AF60" s="92">
        <v>0.01</v>
      </c>
      <c r="AJ60" t="s">
        <v>93</v>
      </c>
      <c r="AK60" s="93">
        <v>0.01</v>
      </c>
      <c r="AL60" s="7"/>
      <c r="AM60" s="7"/>
      <c r="AO60" t="s">
        <v>225</v>
      </c>
      <c r="AP60" s="92">
        <v>0.01</v>
      </c>
      <c r="AU60" s="7" t="s">
        <v>0</v>
      </c>
      <c r="AV60" s="7" t="s">
        <v>1</v>
      </c>
      <c r="AW60" s="7" t="s">
        <v>2</v>
      </c>
      <c r="AZ60" s="7" t="s">
        <v>0</v>
      </c>
      <c r="BA60" s="7" t="s">
        <v>1</v>
      </c>
      <c r="BB60" s="7" t="s">
        <v>2</v>
      </c>
      <c r="BE60" s="7" t="s">
        <v>0</v>
      </c>
      <c r="BF60" s="7" t="s">
        <v>1</v>
      </c>
      <c r="BG60" s="7" t="s">
        <v>2</v>
      </c>
    </row>
    <row r="61" spans="1:59" ht="15" customHeight="1" x14ac:dyDescent="0.25">
      <c r="A61" s="342"/>
      <c r="B61" s="41" t="s">
        <v>100</v>
      </c>
      <c r="C61" s="43">
        <f t="array" ref="C61:C64">MMULT(O33:R36,E37:E40)</f>
        <v>3</v>
      </c>
      <c r="E61" s="46" t="s">
        <v>84</v>
      </c>
      <c r="F61" s="49">
        <f t="array" ref="F61:F66">MMULT(G61:L66,M61:M66)</f>
        <v>7.7280000000000012E-6</v>
      </c>
      <c r="G61" s="132">
        <f>'CS_2 Y column'!G5</f>
        <v>7.8400000000000014E-7</v>
      </c>
      <c r="H61" s="132">
        <f>'CS_2 Y column'!H5</f>
        <v>0</v>
      </c>
      <c r="I61" s="132">
        <f>'CS_2 Y column'!I5</f>
        <v>0</v>
      </c>
      <c r="J61" s="132">
        <f>'CS_2 Y column'!J5</f>
        <v>0</v>
      </c>
      <c r="K61" s="132">
        <f>'CS_2 Y column'!K5</f>
        <v>0</v>
      </c>
      <c r="L61" s="132">
        <f>'CS_2 Y column'!L5</f>
        <v>3.3600000000000003E-8</v>
      </c>
      <c r="M61" s="29">
        <f>C61</f>
        <v>3</v>
      </c>
      <c r="O61" s="7" t="s">
        <v>4</v>
      </c>
      <c r="P61" s="26" t="s">
        <v>5</v>
      </c>
      <c r="Q61" s="26" t="s">
        <v>6</v>
      </c>
      <c r="R61" s="26"/>
      <c r="S61" s="26"/>
      <c r="T61" s="26"/>
      <c r="U61" s="26"/>
      <c r="V61" s="26"/>
      <c r="W61" s="26"/>
      <c r="X61" s="26"/>
      <c r="Y61" s="26"/>
      <c r="Z61" s="26"/>
      <c r="AA61" s="26"/>
      <c r="AB61" t="s">
        <v>66</v>
      </c>
      <c r="AC61" s="29">
        <f>C46</f>
        <v>35</v>
      </c>
      <c r="AD61" s="29"/>
      <c r="AE61" s="78">
        <v>1</v>
      </c>
      <c r="AF61" s="49">
        <v>0</v>
      </c>
      <c r="AG61" s="49">
        <v>0</v>
      </c>
      <c r="AH61" s="79">
        <v>0</v>
      </c>
      <c r="AI61" s="80"/>
      <c r="AJ61" s="49">
        <f>COS(AK60)</f>
        <v>0.99995000041666526</v>
      </c>
      <c r="AK61" s="49">
        <v>0</v>
      </c>
      <c r="AL61" s="49">
        <f>-AJ63</f>
        <v>9.9998333341666645E-3</v>
      </c>
      <c r="AM61" s="49">
        <v>0</v>
      </c>
      <c r="AN61" s="80"/>
      <c r="AO61" s="49">
        <f>COS(AP60)</f>
        <v>0.99995000041666526</v>
      </c>
      <c r="AP61" s="49">
        <f>-AO62</f>
        <v>-9.9998333341666645E-3</v>
      </c>
      <c r="AQ61" s="49">
        <v>0</v>
      </c>
      <c r="AR61" s="49">
        <v>0</v>
      </c>
      <c r="AS61" s="80"/>
      <c r="AT61" s="29" t="s">
        <v>63</v>
      </c>
      <c r="AU61" s="49">
        <f t="array" ref="AU61:AU64">MMULT(AE61:AH64,$AC61:$AC64)</f>
        <v>35</v>
      </c>
      <c r="AV61" s="49">
        <f>AU61-$AC61</f>
        <v>0</v>
      </c>
      <c r="AW61" s="49">
        <f>AV61/AF60</f>
        <v>0</v>
      </c>
      <c r="AX61" s="80"/>
      <c r="AY61" s="29" t="s">
        <v>63</v>
      </c>
      <c r="AZ61" s="49">
        <f t="array" ref="AZ61:AZ64">MMULT(AJ61:AM64,$AC61:$AC64)</f>
        <v>34.998250014583284</v>
      </c>
      <c r="BA61" s="49">
        <f>AZ61-$AC61</f>
        <v>-1.7499854167155604E-3</v>
      </c>
      <c r="BB61" s="49">
        <f>BA61/AK60</f>
        <v>-0.17499854167155604</v>
      </c>
      <c r="BC61" s="80"/>
      <c r="BD61" s="29" t="s">
        <v>63</v>
      </c>
      <c r="BE61" s="49">
        <f t="array" ref="BE61:BE64">MMULT(AO61:AR64,$AC61:$AC64)</f>
        <v>34.638256014553285</v>
      </c>
      <c r="BF61" s="49">
        <f>BE61-$AC61</f>
        <v>-0.36174398544671504</v>
      </c>
      <c r="BG61" s="49">
        <f>BF61/AP60</f>
        <v>-36.174398544671504</v>
      </c>
    </row>
    <row r="62" spans="1:59" x14ac:dyDescent="0.25">
      <c r="A62" s="342"/>
      <c r="B62" s="41" t="s">
        <v>101</v>
      </c>
      <c r="C62" s="43">
        <v>-10</v>
      </c>
      <c r="E62" s="46" t="s">
        <v>112</v>
      </c>
      <c r="F62" s="49">
        <v>-3.9999999999999998E-6</v>
      </c>
      <c r="G62" s="132">
        <f>'CS_2 Y column'!G6</f>
        <v>0</v>
      </c>
      <c r="H62" s="132">
        <f>'CS_2 Y column'!H6</f>
        <v>3.9999999999999998E-7</v>
      </c>
      <c r="I62" s="132">
        <f>'CS_2 Y column'!I6</f>
        <v>0</v>
      </c>
      <c r="J62" s="132">
        <f>'CS_2 Y column'!J6</f>
        <v>0</v>
      </c>
      <c r="K62" s="132">
        <f>'CS_2 Y column'!K6</f>
        <v>0</v>
      </c>
      <c r="L62" s="132">
        <f>'CS_2 Y column'!L6</f>
        <v>0</v>
      </c>
      <c r="M62" s="29">
        <f t="shared" ref="M62:M63" si="14">C62</f>
        <v>-10</v>
      </c>
      <c r="N62" s="46" t="s">
        <v>84</v>
      </c>
      <c r="O62" s="31">
        <f>AW61</f>
        <v>0</v>
      </c>
      <c r="P62" s="31">
        <f>BB61</f>
        <v>-0.17499854167155604</v>
      </c>
      <c r="Q62" s="31">
        <f>BG61</f>
        <v>-36.174398544671504</v>
      </c>
      <c r="AB62" t="s">
        <v>71</v>
      </c>
      <c r="AC62" s="29">
        <f>C47</f>
        <v>36</v>
      </c>
      <c r="AD62" s="29"/>
      <c r="AE62" s="78">
        <v>0</v>
      </c>
      <c r="AF62" s="49">
        <f>COS(AF60)</f>
        <v>0.99995000041666526</v>
      </c>
      <c r="AG62" s="49">
        <f>-SIN(AF60)</f>
        <v>-9.9998333341666645E-3</v>
      </c>
      <c r="AH62" s="79">
        <v>0</v>
      </c>
      <c r="AI62" s="80"/>
      <c r="AJ62" s="49">
        <v>0</v>
      </c>
      <c r="AK62" s="49">
        <v>1</v>
      </c>
      <c r="AL62" s="49">
        <v>0</v>
      </c>
      <c r="AM62" s="49">
        <v>0</v>
      </c>
      <c r="AN62" s="80"/>
      <c r="AO62" s="49">
        <f>SIN(AP60)</f>
        <v>9.9998333341666645E-3</v>
      </c>
      <c r="AP62" s="49">
        <f>AO61</f>
        <v>0.99995000041666526</v>
      </c>
      <c r="AQ62" s="49">
        <v>0</v>
      </c>
      <c r="AR62" s="49">
        <v>0</v>
      </c>
      <c r="AS62" s="80"/>
      <c r="AT62" s="29" t="s">
        <v>64</v>
      </c>
      <c r="AU62" s="49">
        <v>35.998200014999952</v>
      </c>
      <c r="AV62" s="49">
        <f>AU62-$AC62</f>
        <v>-1.7999850000478546E-3</v>
      </c>
      <c r="AW62" s="49">
        <f>AV62/AF60</f>
        <v>-0.17999850000478546</v>
      </c>
      <c r="AX62" s="80"/>
      <c r="AY62" s="29" t="s">
        <v>64</v>
      </c>
      <c r="AZ62" s="49">
        <v>36</v>
      </c>
      <c r="BA62" s="49">
        <f>AZ62-$AC62</f>
        <v>0</v>
      </c>
      <c r="BB62" s="49">
        <f>BA62/AK60</f>
        <v>0</v>
      </c>
      <c r="BC62" s="80"/>
      <c r="BD62" s="29" t="s">
        <v>64</v>
      </c>
      <c r="BE62" s="49">
        <v>36.348194181695789</v>
      </c>
      <c r="BF62" s="49">
        <f>BE62-$AC62</f>
        <v>0.34819418169578853</v>
      </c>
      <c r="BG62" s="49">
        <f>BF62/AP60</f>
        <v>34.819418169578853</v>
      </c>
    </row>
    <row r="63" spans="1:59" x14ac:dyDescent="0.25">
      <c r="A63" s="342"/>
      <c r="B63" s="41" t="s">
        <v>102</v>
      </c>
      <c r="C63" s="43">
        <v>0</v>
      </c>
      <c r="E63" s="46" t="s">
        <v>113</v>
      </c>
      <c r="F63" s="49">
        <v>0</v>
      </c>
      <c r="G63" s="132">
        <f>'CS_2 Y column'!G7</f>
        <v>0</v>
      </c>
      <c r="H63" s="132">
        <f>'CS_2 Y column'!H7</f>
        <v>0</v>
      </c>
      <c r="I63" s="132">
        <f>'CS_2 Y column'!I7</f>
        <v>3.1360000000000006E-6</v>
      </c>
      <c r="J63" s="132">
        <f>'CS_2 Y column'!J7</f>
        <v>1.3440000000000001E-7</v>
      </c>
      <c r="K63" s="132">
        <f>'CS_2 Y column'!K7</f>
        <v>0</v>
      </c>
      <c r="L63" s="132">
        <f>'CS_2 Y column'!L7</f>
        <v>0</v>
      </c>
      <c r="M63" s="29">
        <f t="shared" si="14"/>
        <v>0</v>
      </c>
      <c r="N63" s="46" t="s">
        <v>112</v>
      </c>
      <c r="O63" s="31">
        <f t="shared" ref="O63:O64" si="15">AW62</f>
        <v>-0.17999850000478546</v>
      </c>
      <c r="P63" s="31">
        <f t="shared" ref="P63:P64" si="16">BB62</f>
        <v>0</v>
      </c>
      <c r="Q63" s="31">
        <f t="shared" ref="Q63:Q64" si="17">BG62</f>
        <v>34.819418169578853</v>
      </c>
      <c r="AB63" t="s">
        <v>72</v>
      </c>
      <c r="AC63" s="29">
        <f>C48</f>
        <v>0</v>
      </c>
      <c r="AD63" s="29"/>
      <c r="AE63" s="78">
        <v>0</v>
      </c>
      <c r="AF63" s="49">
        <f>-AG62</f>
        <v>9.9998333341666645E-3</v>
      </c>
      <c r="AG63" s="49">
        <f>AF62</f>
        <v>0.99995000041666526</v>
      </c>
      <c r="AH63" s="79">
        <v>0</v>
      </c>
      <c r="AI63" s="80"/>
      <c r="AJ63" s="49">
        <f>-SIN(AK60)</f>
        <v>-9.9998333341666645E-3</v>
      </c>
      <c r="AK63" s="49">
        <v>0</v>
      </c>
      <c r="AL63" s="49">
        <f>COS(AK60)</f>
        <v>0.99995000041666526</v>
      </c>
      <c r="AM63" s="49">
        <v>0</v>
      </c>
      <c r="AN63" s="80"/>
      <c r="AO63" s="49">
        <v>0</v>
      </c>
      <c r="AP63" s="49">
        <v>0</v>
      </c>
      <c r="AQ63" s="49">
        <v>1</v>
      </c>
      <c r="AR63" s="49">
        <v>0</v>
      </c>
      <c r="AS63" s="80"/>
      <c r="AT63" s="29" t="s">
        <v>65</v>
      </c>
      <c r="AU63" s="49">
        <v>0.35999400002999993</v>
      </c>
      <c r="AV63" s="49">
        <f>AU63-$AC63</f>
        <v>0.35999400002999993</v>
      </c>
      <c r="AW63" s="49">
        <f>AV63/AF60</f>
        <v>35.999400002999991</v>
      </c>
      <c r="AX63" s="80"/>
      <c r="AY63" s="29" t="s">
        <v>65</v>
      </c>
      <c r="AZ63" s="49">
        <v>-0.34999416669583328</v>
      </c>
      <c r="BA63" s="49">
        <f>AZ63-$AC63</f>
        <v>-0.34999416669583328</v>
      </c>
      <c r="BB63" s="49">
        <f>BA63/AK60</f>
        <v>-34.999416669583326</v>
      </c>
      <c r="BC63" s="80"/>
      <c r="BD63" s="29" t="s">
        <v>65</v>
      </c>
      <c r="BE63" s="49">
        <v>0</v>
      </c>
      <c r="BF63" s="49">
        <f>BE63-$AC63</f>
        <v>0</v>
      </c>
      <c r="BG63" s="49">
        <f>BF63/AP60</f>
        <v>0</v>
      </c>
    </row>
    <row r="64" spans="1:59" ht="15" customHeight="1" x14ac:dyDescent="0.25">
      <c r="A64" s="342"/>
      <c r="B64" s="41" t="s">
        <v>108</v>
      </c>
      <c r="C64" s="43">
        <v>1</v>
      </c>
      <c r="E64" s="4" t="s">
        <v>85</v>
      </c>
      <c r="F64" s="49">
        <v>0</v>
      </c>
      <c r="G64" s="132">
        <f>'CS_2 Y column'!G8</f>
        <v>0</v>
      </c>
      <c r="H64" s="132">
        <f>'CS_2 Y column'!H8</f>
        <v>0</v>
      </c>
      <c r="I64" s="132">
        <f>'CS_2 Y column'!I8</f>
        <v>1.3440000000000001E-7</v>
      </c>
      <c r="J64" s="132">
        <f>'CS_2 Y column'!J8</f>
        <v>7.6800000000000016E-9</v>
      </c>
      <c r="K64" s="132">
        <f>'CS_2 Y column'!K8</f>
        <v>0</v>
      </c>
      <c r="L64" s="132">
        <f>'CS_2 Y column'!L8</f>
        <v>0</v>
      </c>
      <c r="M64" s="29">
        <f>C65</f>
        <v>0</v>
      </c>
      <c r="N64" s="46" t="s">
        <v>113</v>
      </c>
      <c r="O64" s="31">
        <f t="shared" si="15"/>
        <v>35.999400002999991</v>
      </c>
      <c r="P64" s="31">
        <f t="shared" si="16"/>
        <v>-34.999416669583326</v>
      </c>
      <c r="Q64" s="31">
        <f t="shared" si="17"/>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42"/>
      <c r="B65" s="41" t="s">
        <v>103</v>
      </c>
      <c r="C65" s="43">
        <f t="array" ref="C65:C68">MMULT(O33:R36,E41:E44)</f>
        <v>0</v>
      </c>
      <c r="E65" s="4" t="s">
        <v>86</v>
      </c>
      <c r="F65" s="49">
        <v>0</v>
      </c>
      <c r="G65" s="132">
        <f>'CS_2 Y column'!G9</f>
        <v>0</v>
      </c>
      <c r="H65" s="132">
        <f>'CS_2 Y column'!H9</f>
        <v>0</v>
      </c>
      <c r="I65" s="132">
        <f>'CS_2 Y column'!I9</f>
        <v>0</v>
      </c>
      <c r="J65" s="132">
        <f>'CS_2 Y column'!J9</f>
        <v>0</v>
      </c>
      <c r="K65" s="132">
        <f>'CS_2 Y column'!K9</f>
        <v>1.98144E-8</v>
      </c>
      <c r="L65" s="132">
        <f>'CS_2 Y column'!L9</f>
        <v>0</v>
      </c>
      <c r="M65" s="29">
        <f>C66</f>
        <v>0</v>
      </c>
      <c r="O65" s="3" t="s">
        <v>82</v>
      </c>
      <c r="T65" s="3" t="s">
        <v>83</v>
      </c>
      <c r="AE65" t="s">
        <v>95</v>
      </c>
      <c r="AJ65" t="s">
        <v>94</v>
      </c>
      <c r="AO65" t="s">
        <v>96</v>
      </c>
    </row>
    <row r="66" spans="1:44" ht="15" customHeight="1" x14ac:dyDescent="0.25">
      <c r="A66" s="342"/>
      <c r="B66" s="41" t="s">
        <v>104</v>
      </c>
      <c r="C66" s="43">
        <v>0</v>
      </c>
      <c r="E66" s="4" t="s">
        <v>87</v>
      </c>
      <c r="F66" s="49">
        <v>4.0800000000000005E-7</v>
      </c>
      <c r="G66" s="132">
        <f>'CS_2 Y column'!G10</f>
        <v>3.3600000000000003E-8</v>
      </c>
      <c r="H66" s="132">
        <f>'CS_2 Y column'!H10</f>
        <v>0</v>
      </c>
      <c r="I66" s="132">
        <f>'CS_2 Y column'!I10</f>
        <v>0</v>
      </c>
      <c r="J66" s="132">
        <f>'CS_2 Y column'!J10</f>
        <v>0</v>
      </c>
      <c r="K66" s="132">
        <f>'CS_2 Y column'!K10</f>
        <v>0</v>
      </c>
      <c r="L66" s="132">
        <f>'CS_2 Y column'!L10</f>
        <v>1.9200000000000004E-9</v>
      </c>
      <c r="M66" s="29">
        <f>C67</f>
        <v>160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35</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42"/>
      <c r="B67" s="41" t="s">
        <v>105</v>
      </c>
      <c r="C67" s="43">
        <v>160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36</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42"/>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42"/>
      <c r="B69" s="77" t="s">
        <v>182</v>
      </c>
      <c r="C69"/>
      <c r="D69" s="90" t="s">
        <v>245</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42"/>
      <c r="B70" s="41" t="s">
        <v>100</v>
      </c>
      <c r="C70" s="42">
        <v>0</v>
      </c>
      <c r="D70" s="41" t="s">
        <v>100</v>
      </c>
      <c r="E70" s="43">
        <f>C61+C70</f>
        <v>3</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42"/>
      <c r="B71" s="41" t="s">
        <v>101</v>
      </c>
      <c r="C71" s="42">
        <v>0</v>
      </c>
      <c r="D71" s="41" t="s">
        <v>101</v>
      </c>
      <c r="E71" s="43">
        <f>C62+C71</f>
        <v>-10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42"/>
      <c r="B72" s="41" t="s">
        <v>102</v>
      </c>
      <c r="C72" s="42">
        <v>0</v>
      </c>
      <c r="D72" s="41" t="s">
        <v>102</v>
      </c>
      <c r="E72" s="43">
        <f>C63+C72</f>
        <v>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42"/>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42"/>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42"/>
      <c r="B75" s="130" t="s">
        <v>104</v>
      </c>
      <c r="C75" s="133">
        <v>0</v>
      </c>
      <c r="D75" s="130" t="s">
        <v>104</v>
      </c>
      <c r="E75" s="131">
        <f>C66+C75+C61*C22-C63*C20</f>
        <v>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42"/>
      <c r="B76" s="41" t="s">
        <v>105</v>
      </c>
      <c r="C76" s="42">
        <v>0</v>
      </c>
      <c r="D76" s="41" t="s">
        <v>105</v>
      </c>
      <c r="E76" s="43">
        <f>C67+C76+C62*C20-C61*C21</f>
        <v>-458</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43"/>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38" t="s">
        <v>322</v>
      </c>
      <c r="B78" s="68" t="s">
        <v>249</v>
      </c>
      <c r="E78" s="1" t="s">
        <v>142</v>
      </c>
    </row>
    <row r="79" spans="1:44" ht="15" customHeight="1" x14ac:dyDescent="0.25">
      <c r="A79" s="338"/>
      <c r="B79" s="12" t="s">
        <v>73</v>
      </c>
      <c r="C79" s="56">
        <f>C57</f>
        <v>20</v>
      </c>
      <c r="E79" s="324" t="s">
        <v>138</v>
      </c>
      <c r="F79" s="324"/>
      <c r="G79" s="324" t="s">
        <v>139</v>
      </c>
      <c r="H79" s="324"/>
      <c r="N79" s="34" t="s">
        <v>98</v>
      </c>
      <c r="O79" s="1"/>
      <c r="P79" s="67"/>
      <c r="Q79" s="1"/>
      <c r="R79" s="1"/>
      <c r="S79" s="34" t="s">
        <v>136</v>
      </c>
      <c r="Y79" s="95" t="s">
        <v>297</v>
      </c>
    </row>
    <row r="80" spans="1:44" ht="15" customHeight="1" x14ac:dyDescent="0.25">
      <c r="A80" s="338"/>
      <c r="B80" s="12" t="s">
        <v>74</v>
      </c>
      <c r="C80" s="56">
        <f t="shared" ref="C80" si="18">C58</f>
        <v>1</v>
      </c>
      <c r="E80" s="46" t="s">
        <v>84</v>
      </c>
      <c r="F80" s="48">
        <f>'CS_3 Y stage'!B45</f>
        <v>1.0000000000000001E-5</v>
      </c>
      <c r="G80" s="46" t="s">
        <v>84</v>
      </c>
      <c r="H80" s="48">
        <f>'CS_3 Y stage'!B52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38"/>
      <c r="B81" s="12" t="s">
        <v>75</v>
      </c>
      <c r="C81" s="56">
        <f>C59</f>
        <v>0</v>
      </c>
      <c r="E81" s="46" t="s">
        <v>112</v>
      </c>
      <c r="F81" s="48">
        <f>'CS_3 Y stage'!B46</f>
        <v>9.9999999999999995E-7</v>
      </c>
      <c r="G81" s="46" t="s">
        <v>112</v>
      </c>
      <c r="H81" s="48">
        <f>'CS_3 Y stage'!B53</f>
        <v>0</v>
      </c>
      <c r="N81" s="46" t="s">
        <v>84</v>
      </c>
      <c r="O81" s="50">
        <f>ABS(F80)</f>
        <v>1.0000000000000001E-5</v>
      </c>
      <c r="P81" s="50">
        <f>ABS(F83*O95)</f>
        <v>0</v>
      </c>
      <c r="Q81" s="50">
        <f>ABS(F84*P95)</f>
        <v>3.9999666667824936E-8</v>
      </c>
      <c r="R81" s="50">
        <f>ABS(F85*Q95)</f>
        <v>4.3999300003449202E-7</v>
      </c>
      <c r="S81" s="46" t="s">
        <v>84</v>
      </c>
      <c r="T81" s="49">
        <f t="array" ref="T81:W84">ABS(MMULT(T99:W102,O81:R84))</f>
        <v>1.0000000000000001E-5</v>
      </c>
      <c r="U81" s="49">
        <v>0</v>
      </c>
      <c r="V81" s="49">
        <v>3.9999666667824936E-8</v>
      </c>
      <c r="W81" s="49">
        <v>4.3999300003449202E-7</v>
      </c>
      <c r="X81" s="70" t="s">
        <v>84</v>
      </c>
      <c r="Y81" s="49">
        <f>F87+F94</f>
        <v>1.1591962905718702E-6</v>
      </c>
      <c r="Z81" s="29">
        <f>F90*O95</f>
        <v>0</v>
      </c>
      <c r="AA81" s="29">
        <f>F91*P95</f>
        <v>0</v>
      </c>
      <c r="AB81" s="29">
        <f>F92*Q95</f>
        <v>1.2743109595577456E-7</v>
      </c>
    </row>
    <row r="82" spans="1:62" ht="15" customHeight="1" x14ac:dyDescent="0.25">
      <c r="A82" s="60">
        <v>3</v>
      </c>
      <c r="B82" s="1" t="s">
        <v>76</v>
      </c>
      <c r="E82" s="46" t="s">
        <v>113</v>
      </c>
      <c r="F82" s="48">
        <f>'CS_3 Y stage'!B47</f>
        <v>1.0000000000000001E-5</v>
      </c>
      <c r="G82" s="46" t="s">
        <v>113</v>
      </c>
      <c r="H82" s="48">
        <f>'CS_3 Y stage'!B54</f>
        <v>0</v>
      </c>
      <c r="N82" s="46" t="s">
        <v>112</v>
      </c>
      <c r="O82" s="50">
        <f t="shared" ref="O82:O83" si="19">ABS(F81)</f>
        <v>9.9999999999999995E-7</v>
      </c>
      <c r="P82" s="50">
        <f>ABS(F83*O96)</f>
        <v>1.9999833333894702E-10</v>
      </c>
      <c r="Q82" s="50">
        <f>ABS(F84*P96)</f>
        <v>0</v>
      </c>
      <c r="R82" s="50">
        <f>ABS(F85*Q96)</f>
        <v>7.997866683999961E-6</v>
      </c>
      <c r="S82" s="46" t="s">
        <v>112</v>
      </c>
      <c r="T82" s="49">
        <v>9.9999999999999995E-7</v>
      </c>
      <c r="U82" s="49">
        <v>1.9999833333894702E-10</v>
      </c>
      <c r="V82" s="49">
        <v>0</v>
      </c>
      <c r="W82" s="49">
        <v>7.997866683999961E-6</v>
      </c>
      <c r="X82" s="70" t="s">
        <v>112</v>
      </c>
      <c r="Y82" s="49">
        <f t="shared" ref="Y82:Y83" si="20">F88+F95</f>
        <v>-3.8624951718810348E-6</v>
      </c>
      <c r="Z82" s="29">
        <f>F90*O96</f>
        <v>0</v>
      </c>
      <c r="AA82" s="29">
        <f>F91*P96</f>
        <v>0</v>
      </c>
      <c r="AB82" s="29">
        <f>F92*Q96</f>
        <v>-2.3163480254694869E-6</v>
      </c>
    </row>
    <row r="83" spans="1:62" ht="15" customHeight="1" x14ac:dyDescent="0.25">
      <c r="A83" s="43">
        <f>IF(A82&gt;Naxes,0,1)</f>
        <v>1</v>
      </c>
      <c r="B83" s="2" t="s">
        <v>176</v>
      </c>
      <c r="C83" s="37">
        <v>0</v>
      </c>
      <c r="E83" s="4" t="s">
        <v>85</v>
      </c>
      <c r="F83" s="48">
        <f>'CS_3 Y stage'!B48</f>
        <v>4.0000000000000093E-8</v>
      </c>
      <c r="G83" s="4" t="s">
        <v>85</v>
      </c>
      <c r="H83" s="48">
        <f>'CS_3 Y stage'!B55</f>
        <v>0</v>
      </c>
      <c r="N83" s="46" t="s">
        <v>113</v>
      </c>
      <c r="O83" s="50">
        <f t="shared" si="19"/>
        <v>1.0000000000000001E-5</v>
      </c>
      <c r="P83" s="50">
        <f>ABS(F83*O97)</f>
        <v>3.9999333336666754E-8</v>
      </c>
      <c r="Q83" s="50">
        <f>ABS(F84*P97)</f>
        <v>7.9998666673333521E-6</v>
      </c>
      <c r="R83" s="50">
        <f>ABS(F85*Q97)</f>
        <v>0</v>
      </c>
      <c r="S83" s="46" t="s">
        <v>113</v>
      </c>
      <c r="T83" s="49">
        <v>1.0000000000000001E-5</v>
      </c>
      <c r="U83" s="49">
        <v>3.9999333336666754E-8</v>
      </c>
      <c r="V83" s="49">
        <v>7.9998666673333521E-6</v>
      </c>
      <c r="W83" s="49">
        <v>0</v>
      </c>
      <c r="X83" s="70" t="s">
        <v>113</v>
      </c>
      <c r="Y83" s="49">
        <f t="shared" si="20"/>
        <v>0</v>
      </c>
      <c r="Z83" s="29">
        <f>F90*O97</f>
        <v>0</v>
      </c>
      <c r="AA83" s="29">
        <f>F91*P97</f>
        <v>0</v>
      </c>
      <c r="AB83" s="29">
        <f>F92*Q97</f>
        <v>0</v>
      </c>
    </row>
    <row r="84" spans="1:62" ht="15" customHeight="1" x14ac:dyDescent="0.25">
      <c r="A84" s="336" t="s">
        <v>127</v>
      </c>
      <c r="B84" s="2" t="s">
        <v>178</v>
      </c>
      <c r="C84" s="37">
        <v>0</v>
      </c>
      <c r="E84" s="4" t="s">
        <v>86</v>
      </c>
      <c r="F84" s="48">
        <f>'CS_3 Y stage'!B49</f>
        <v>4.0000000000000099E-7</v>
      </c>
      <c r="G84" s="4" t="s">
        <v>86</v>
      </c>
      <c r="H84" s="48">
        <f>'CS_3 Y stage'!B56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36"/>
      <c r="B85" s="2" t="s">
        <v>177</v>
      </c>
      <c r="C85" s="37">
        <v>0</v>
      </c>
      <c r="E85" s="4" t="s">
        <v>87</v>
      </c>
      <c r="F85" s="48">
        <f>'CS_3 Y stage'!B50</f>
        <v>4.0000000000000099E-7</v>
      </c>
      <c r="G85" s="4" t="s">
        <v>87</v>
      </c>
      <c r="H85" s="48">
        <f>'CS_3 Y stage'!B57</f>
        <v>0</v>
      </c>
      <c r="X85" s="6"/>
    </row>
    <row r="86" spans="1:62" ht="29.1" customHeight="1" x14ac:dyDescent="0.25">
      <c r="A86" s="336"/>
      <c r="B86" s="2" t="s">
        <v>244</v>
      </c>
      <c r="C86" s="37">
        <v>-6</v>
      </c>
      <c r="E86" s="337" t="s">
        <v>303</v>
      </c>
      <c r="F86" s="337"/>
      <c r="G86" s="324" t="s">
        <v>250</v>
      </c>
      <c r="H86" s="324"/>
      <c r="I86" s="337" t="s">
        <v>306</v>
      </c>
      <c r="J86" s="337"/>
      <c r="K86" s="337" t="s">
        <v>304</v>
      </c>
      <c r="L86" s="337"/>
      <c r="N86" s="34" t="s">
        <v>99</v>
      </c>
      <c r="O86" s="1"/>
      <c r="P86" s="67"/>
      <c r="Q86" s="1"/>
      <c r="R86" s="1"/>
      <c r="S86" s="34" t="s">
        <v>137</v>
      </c>
      <c r="X86" s="6"/>
      <c r="Y86" s="95" t="s">
        <v>296</v>
      </c>
    </row>
    <row r="87" spans="1:62" ht="15" customHeight="1" x14ac:dyDescent="0.25">
      <c r="A87" s="336"/>
      <c r="B87" s="2" t="s">
        <v>77</v>
      </c>
      <c r="C87" s="38">
        <v>0</v>
      </c>
      <c r="E87" s="46" t="s">
        <v>84</v>
      </c>
      <c r="F87" s="49">
        <f>E103/IF(H87=0,1000000000000,H87)</f>
        <v>1.1591962905718702E-6</v>
      </c>
      <c r="G87" s="4" t="s">
        <v>117</v>
      </c>
      <c r="H87" s="29">
        <f>'CS_3 Y stage'!B25</f>
        <v>2588000</v>
      </c>
      <c r="I87" s="4" t="s">
        <v>85</v>
      </c>
      <c r="J87" s="49">
        <f>F130</f>
        <v>0</v>
      </c>
      <c r="K87" s="4" t="s">
        <v>85</v>
      </c>
      <c r="L87" s="139">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48" t="s">
        <v>382</v>
      </c>
      <c r="B88" s="2" t="s">
        <v>107</v>
      </c>
      <c r="C88" s="37">
        <v>0</v>
      </c>
      <c r="E88" s="46" t="s">
        <v>112</v>
      </c>
      <c r="F88" s="49">
        <f t="shared" ref="F88:F89" si="21">E104/IF(H88=0,1000000000000,H88)</f>
        <v>-3.8624951718810348E-6</v>
      </c>
      <c r="G88" s="4" t="s">
        <v>118</v>
      </c>
      <c r="H88" s="29">
        <f>'CS_3 Y stage'!B26</f>
        <v>2589000</v>
      </c>
      <c r="I88" s="4" t="s">
        <v>86</v>
      </c>
      <c r="J88" s="49">
        <f t="shared" ref="J88:J89" si="22">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1.1591962905718702E-6</v>
      </c>
      <c r="Z88" s="29">
        <f t="array" ref="Z88:Z91">MMULT(T99:W102,Z81:Z84)</f>
        <v>0</v>
      </c>
      <c r="AA88" s="29">
        <f t="array" ref="AA88:AA91">MMULT(T99:W102,AA81:AA84)</f>
        <v>0</v>
      </c>
      <c r="AB88" s="29">
        <f t="array" ref="AB88:AB91">MMULT(T99:W102,AB81:AB84)</f>
        <v>1.2743109595577456E-7</v>
      </c>
    </row>
    <row r="89" spans="1:62" ht="15" customHeight="1" x14ac:dyDescent="0.25">
      <c r="A89" s="342"/>
      <c r="B89" s="34" t="s">
        <v>78</v>
      </c>
      <c r="E89" s="46" t="s">
        <v>113</v>
      </c>
      <c r="F89" s="49">
        <f t="shared" si="21"/>
        <v>0</v>
      </c>
      <c r="G89" s="4" t="s">
        <v>119</v>
      </c>
      <c r="H89" s="29">
        <f>'CS_3 Y stage'!B27</f>
        <v>0</v>
      </c>
      <c r="I89" s="4" t="s">
        <v>87</v>
      </c>
      <c r="J89" s="49">
        <f t="shared" si="22"/>
        <v>0</v>
      </c>
      <c r="K89" s="4" t="s">
        <v>87</v>
      </c>
      <c r="L89" s="139">
        <v>0</v>
      </c>
      <c r="N89" s="46" t="s">
        <v>112</v>
      </c>
      <c r="O89" s="50">
        <f>H81</f>
        <v>0</v>
      </c>
      <c r="P89" s="50">
        <f>H83*O96</f>
        <v>0</v>
      </c>
      <c r="Q89" s="50">
        <f>H84*P96</f>
        <v>0</v>
      </c>
      <c r="R89" s="50">
        <f>H85*Q96</f>
        <v>0</v>
      </c>
      <c r="S89" s="46" t="s">
        <v>112</v>
      </c>
      <c r="T89" s="50">
        <v>0</v>
      </c>
      <c r="U89" s="50">
        <v>0</v>
      </c>
      <c r="V89" s="50">
        <v>0</v>
      </c>
      <c r="W89" s="50">
        <v>0</v>
      </c>
      <c r="X89" s="70" t="s">
        <v>112</v>
      </c>
      <c r="Y89" s="29">
        <v>-3.8624951718810348E-6</v>
      </c>
      <c r="Z89" s="29">
        <v>0</v>
      </c>
      <c r="AA89" s="29">
        <v>0</v>
      </c>
      <c r="AB89" s="29">
        <v>-2.3163480254694869E-6</v>
      </c>
    </row>
    <row r="90" spans="1:62" ht="15" customHeight="1" x14ac:dyDescent="0.25">
      <c r="A90" s="342"/>
      <c r="B90" s="12" t="s">
        <v>79</v>
      </c>
      <c r="C90" s="31">
        <f>AC99+C86</f>
        <v>14</v>
      </c>
      <c r="E90" s="4" t="s">
        <v>85</v>
      </c>
      <c r="F90" s="49">
        <f>E107/IF(H90=0,1000000000000,H90)+L87</f>
        <v>0</v>
      </c>
      <c r="G90" s="46" t="s">
        <v>8</v>
      </c>
      <c r="H90" s="29">
        <f>'CS_3 Y stage'!B29</f>
        <v>2021875000</v>
      </c>
      <c r="I90" s="4" t="s">
        <v>305</v>
      </c>
      <c r="J90" s="29">
        <v>1</v>
      </c>
      <c r="K90" s="4" t="s">
        <v>305</v>
      </c>
      <c r="L90" s="139">
        <v>1</v>
      </c>
      <c r="N90" s="46" t="s">
        <v>113</v>
      </c>
      <c r="O90" s="50">
        <f>H82</f>
        <v>0</v>
      </c>
      <c r="P90" s="50">
        <f>H83*O97</f>
        <v>0</v>
      </c>
      <c r="Q90" s="50">
        <f>H84*P97</f>
        <v>0</v>
      </c>
      <c r="R90" s="50">
        <f>H85*Q97</f>
        <v>0</v>
      </c>
      <c r="S90" s="46" t="s">
        <v>113</v>
      </c>
      <c r="T90" s="50">
        <v>0</v>
      </c>
      <c r="U90" s="50">
        <v>0</v>
      </c>
      <c r="V90" s="50">
        <v>0</v>
      </c>
      <c r="W90" s="50">
        <v>0</v>
      </c>
      <c r="X90" s="70" t="s">
        <v>113</v>
      </c>
      <c r="Y90" s="29">
        <v>0</v>
      </c>
      <c r="Z90" s="29">
        <v>0</v>
      </c>
      <c r="AA90" s="29">
        <v>0</v>
      </c>
      <c r="AB90" s="29">
        <v>0</v>
      </c>
    </row>
    <row r="91" spans="1:62" ht="15" customHeight="1" x14ac:dyDescent="0.25">
      <c r="A91" s="342"/>
      <c r="B91" s="12" t="s">
        <v>80</v>
      </c>
      <c r="C91" s="31">
        <f>AC100+C87</f>
        <v>1</v>
      </c>
      <c r="E91" s="4" t="s">
        <v>86</v>
      </c>
      <c r="F91" s="49">
        <f t="shared" ref="F91:F92" si="23">E108/IF(H91=0,1000000000000,H91)+L88</f>
        <v>0</v>
      </c>
      <c r="G91" s="46" t="s">
        <v>120</v>
      </c>
      <c r="H91" s="29">
        <f>'CS_3 Y stage'!B30</f>
        <v>1752291666.6666667</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42"/>
      <c r="B92" s="12" t="s">
        <v>81</v>
      </c>
      <c r="C92" s="31">
        <f>AC101+C88</f>
        <v>0</v>
      </c>
      <c r="E92" s="4" t="s">
        <v>87</v>
      </c>
      <c r="F92" s="49">
        <f t="shared" si="23"/>
        <v>-1.1584829390084413E-7</v>
      </c>
      <c r="G92" s="46" t="s">
        <v>116</v>
      </c>
      <c r="H92" s="29">
        <f>'CS_3 Y stage'!B31</f>
        <v>1752291666.6666667</v>
      </c>
      <c r="AB92" s="5"/>
      <c r="AU92" s="5" t="s">
        <v>67</v>
      </c>
      <c r="AZ92" s="5" t="s">
        <v>92</v>
      </c>
      <c r="BE92" s="5" t="s">
        <v>97</v>
      </c>
      <c r="BJ92" s="5" t="s">
        <v>97</v>
      </c>
    </row>
    <row r="93" spans="1:62" ht="31.5" x14ac:dyDescent="0.25">
      <c r="A93" s="342"/>
      <c r="B93" s="69" t="s">
        <v>106</v>
      </c>
      <c r="E93" s="324" t="s">
        <v>294</v>
      </c>
      <c r="F93" s="344"/>
      <c r="G93" s="345" t="s">
        <v>293</v>
      </c>
      <c r="H93" s="346"/>
      <c r="I93" s="346"/>
      <c r="J93" s="346"/>
      <c r="K93" s="346"/>
      <c r="L93" s="347"/>
      <c r="M93" s="94" t="s">
        <v>295</v>
      </c>
      <c r="N93" s="85" t="s">
        <v>247</v>
      </c>
      <c r="AE93" t="s">
        <v>226</v>
      </c>
      <c r="AF93" s="92">
        <v>0.01</v>
      </c>
      <c r="AJ93" t="s">
        <v>93</v>
      </c>
      <c r="AK93" s="93">
        <v>0.01</v>
      </c>
      <c r="AL93" s="7"/>
      <c r="AM93" s="7"/>
      <c r="AO93" t="s">
        <v>225</v>
      </c>
      <c r="AP93" s="92">
        <v>0.01</v>
      </c>
      <c r="AU93" s="7" t="s">
        <v>0</v>
      </c>
      <c r="AV93" s="7" t="s">
        <v>1</v>
      </c>
      <c r="AW93" s="7" t="s">
        <v>2</v>
      </c>
      <c r="AZ93" s="7" t="s">
        <v>0</v>
      </c>
      <c r="BA93" s="7" t="s">
        <v>1</v>
      </c>
      <c r="BB93" s="7" t="s">
        <v>2</v>
      </c>
      <c r="BE93" s="7" t="s">
        <v>0</v>
      </c>
      <c r="BF93" s="7" t="s">
        <v>1</v>
      </c>
      <c r="BG93" s="7" t="s">
        <v>2</v>
      </c>
    </row>
    <row r="94" spans="1:62" ht="15" customHeight="1" x14ac:dyDescent="0.25">
      <c r="A94" s="342"/>
      <c r="B94" s="41" t="s">
        <v>100</v>
      </c>
      <c r="C94" s="43">
        <f t="array" ref="C94:C97">MMULT(O66:R69,E70:E73)</f>
        <v>3</v>
      </c>
      <c r="E94" s="46" t="s">
        <v>84</v>
      </c>
      <c r="F94" s="49">
        <f t="array" ref="F94:F99">MMULT(G94:L99,M94:M99)</f>
        <v>0</v>
      </c>
      <c r="G94" s="132">
        <f>'CS_3 Y stage'!J5</f>
        <v>0</v>
      </c>
      <c r="H94" s="132">
        <f>'CS_3 Y stage'!K5</f>
        <v>0</v>
      </c>
      <c r="I94" s="132">
        <f>'CS_3 Y stage'!L5</f>
        <v>0</v>
      </c>
      <c r="J94" s="132">
        <f>'CS_3 Y stage'!M5</f>
        <v>0</v>
      </c>
      <c r="K94" s="132">
        <f>'CS_3 Y stage'!N5</f>
        <v>0</v>
      </c>
      <c r="L94" s="132">
        <f>'CS_3 Y stage'!O5</f>
        <v>0</v>
      </c>
      <c r="M94" s="29">
        <f>C94</f>
        <v>3</v>
      </c>
      <c r="O94" s="7" t="s">
        <v>4</v>
      </c>
      <c r="P94" s="26" t="s">
        <v>5</v>
      </c>
      <c r="Q94" s="26" t="s">
        <v>6</v>
      </c>
      <c r="R94" s="26"/>
      <c r="S94" s="26"/>
      <c r="T94" s="26"/>
      <c r="U94" s="26"/>
      <c r="V94" s="26"/>
      <c r="W94" s="26"/>
      <c r="X94" s="26"/>
      <c r="Y94" s="26"/>
      <c r="Z94" s="26"/>
      <c r="AA94" s="26"/>
      <c r="AB94" t="s">
        <v>66</v>
      </c>
      <c r="AC94" s="29">
        <f>C79</f>
        <v>20</v>
      </c>
      <c r="AD94" s="29"/>
      <c r="AE94" s="78">
        <v>1</v>
      </c>
      <c r="AF94" s="49">
        <v>0</v>
      </c>
      <c r="AG94" s="49">
        <v>0</v>
      </c>
      <c r="AH94" s="79">
        <v>0</v>
      </c>
      <c r="AI94" s="80"/>
      <c r="AJ94" s="49">
        <f>COS(AK93)</f>
        <v>0.99995000041666526</v>
      </c>
      <c r="AK94" s="49">
        <v>0</v>
      </c>
      <c r="AL94" s="49">
        <f>-AJ96</f>
        <v>9.9998333341666645E-3</v>
      </c>
      <c r="AM94" s="49">
        <v>0</v>
      </c>
      <c r="AN94" s="80"/>
      <c r="AO94" s="49">
        <f>COS(AP93)</f>
        <v>0.99995000041666526</v>
      </c>
      <c r="AP94" s="49">
        <f>-AO95</f>
        <v>-9.9998333341666645E-3</v>
      </c>
      <c r="AQ94" s="49">
        <v>0</v>
      </c>
      <c r="AR94" s="49">
        <v>0</v>
      </c>
      <c r="AS94" s="80"/>
      <c r="AT94" s="29" t="s">
        <v>63</v>
      </c>
      <c r="AU94" s="49">
        <f t="array" ref="AU94:AU97">MMULT(AE94:AH97,$AC94:$AC97)</f>
        <v>20</v>
      </c>
      <c r="AV94" s="49">
        <f>AU94-$AC94</f>
        <v>0</v>
      </c>
      <c r="AW94" s="49">
        <f>AV94/AF93</f>
        <v>0</v>
      </c>
      <c r="AX94" s="80"/>
      <c r="AY94" s="29" t="s">
        <v>63</v>
      </c>
      <c r="AZ94" s="49">
        <f t="array" ref="AZ94:AZ97">MMULT(AJ94:AM97,$AC94:$AC97)</f>
        <v>19.999000008333304</v>
      </c>
      <c r="BA94" s="49">
        <f>AZ94-$AC94</f>
        <v>-9.9999166669562101E-4</v>
      </c>
      <c r="BB94" s="49">
        <f>BA94/AK93</f>
        <v>-9.9999166669562101E-2</v>
      </c>
      <c r="BC94" s="80"/>
      <c r="BD94" s="29" t="s">
        <v>63</v>
      </c>
      <c r="BE94" s="49">
        <f t="array" ref="BE94:BE97">MMULT(AO94:AR97,$AC94:$AC97)</f>
        <v>19.989000174999138</v>
      </c>
      <c r="BF94" s="49">
        <f>BE94-$AC94</f>
        <v>-1.0999825000862273E-2</v>
      </c>
      <c r="BG94" s="49">
        <f>BF94/AP93</f>
        <v>-1.0999825000862273</v>
      </c>
    </row>
    <row r="95" spans="1:62" x14ac:dyDescent="0.25">
      <c r="A95" s="342"/>
      <c r="B95" s="41" t="s">
        <v>101</v>
      </c>
      <c r="C95" s="43">
        <v>-10</v>
      </c>
      <c r="E95" s="46" t="s">
        <v>112</v>
      </c>
      <c r="F95" s="49">
        <v>0</v>
      </c>
      <c r="G95" s="132">
        <f>'CS_3 Y stage'!J6</f>
        <v>0</v>
      </c>
      <c r="H95" s="132">
        <f>'CS_3 Y stage'!K6</f>
        <v>0</v>
      </c>
      <c r="I95" s="132">
        <f>'CS_3 Y stage'!L6</f>
        <v>0</v>
      </c>
      <c r="J95" s="132">
        <f>'CS_3 Y stage'!M6</f>
        <v>0</v>
      </c>
      <c r="K95" s="132">
        <f>'CS_3 Y stage'!N6</f>
        <v>0</v>
      </c>
      <c r="L95" s="132">
        <f>'CS_3 Y stage'!O6</f>
        <v>0</v>
      </c>
      <c r="M95" s="29">
        <f t="shared" ref="M95:M96" si="24">C95</f>
        <v>-10</v>
      </c>
      <c r="N95" s="46" t="s">
        <v>84</v>
      </c>
      <c r="O95" s="31">
        <f>AW94</f>
        <v>0</v>
      </c>
      <c r="P95" s="31">
        <f>BB94</f>
        <v>-9.9999166669562101E-2</v>
      </c>
      <c r="Q95" s="31">
        <f>BG94</f>
        <v>-1.0999825000862273</v>
      </c>
      <c r="AB95" t="s">
        <v>71</v>
      </c>
      <c r="AC95" s="29">
        <f>C80</f>
        <v>1</v>
      </c>
      <c r="AD95" s="29"/>
      <c r="AE95" s="78">
        <v>0</v>
      </c>
      <c r="AF95" s="49">
        <f>COS(AF93)</f>
        <v>0.99995000041666526</v>
      </c>
      <c r="AG95" s="49">
        <f>-SIN(AF93)</f>
        <v>-9.9998333341666645E-3</v>
      </c>
      <c r="AH95" s="79">
        <v>0</v>
      </c>
      <c r="AI95" s="80"/>
      <c r="AJ95" s="49">
        <v>0</v>
      </c>
      <c r="AK95" s="49">
        <v>1</v>
      </c>
      <c r="AL95" s="49">
        <v>0</v>
      </c>
      <c r="AM95" s="49">
        <v>0</v>
      </c>
      <c r="AN95" s="80"/>
      <c r="AO95" s="49">
        <f>SIN(AP93)</f>
        <v>9.9998333341666645E-3</v>
      </c>
      <c r="AP95" s="49">
        <f>AO94</f>
        <v>0.99995000041666526</v>
      </c>
      <c r="AQ95" s="49">
        <v>0</v>
      </c>
      <c r="AR95" s="49">
        <v>0</v>
      </c>
      <c r="AS95" s="80"/>
      <c r="AT95" s="29" t="s">
        <v>64</v>
      </c>
      <c r="AU95" s="49">
        <v>0.99995000041666526</v>
      </c>
      <c r="AV95" s="49">
        <f>AU95-$AC95</f>
        <v>-4.9999583334736641E-5</v>
      </c>
      <c r="AW95" s="49">
        <f>AV95/AF93</f>
        <v>-4.9999583334736641E-3</v>
      </c>
      <c r="AX95" s="80"/>
      <c r="AY95" s="29" t="s">
        <v>64</v>
      </c>
      <c r="AZ95" s="49">
        <v>1</v>
      </c>
      <c r="BA95" s="49">
        <f>AZ95-$AC95</f>
        <v>0</v>
      </c>
      <c r="BB95" s="49">
        <f>BA95/AK93</f>
        <v>0</v>
      </c>
      <c r="BC95" s="80"/>
      <c r="BD95" s="29" t="s">
        <v>64</v>
      </c>
      <c r="BE95" s="49">
        <v>1.1999466670999985</v>
      </c>
      <c r="BF95" s="49">
        <f>BE95-$AC95</f>
        <v>0.19994666709999853</v>
      </c>
      <c r="BG95" s="49">
        <f>BF95/AP93</f>
        <v>19.994666709999851</v>
      </c>
    </row>
    <row r="96" spans="1:62" x14ac:dyDescent="0.25">
      <c r="A96" s="342"/>
      <c r="B96" s="41" t="s">
        <v>102</v>
      </c>
      <c r="C96" s="43">
        <v>0</v>
      </c>
      <c r="E96" s="46" t="s">
        <v>113</v>
      </c>
      <c r="F96" s="49">
        <v>0</v>
      </c>
      <c r="G96" s="132">
        <f>'CS_3 Y stage'!J7</f>
        <v>0</v>
      </c>
      <c r="H96" s="132">
        <f>'CS_3 Y stage'!K7</f>
        <v>0</v>
      </c>
      <c r="I96" s="132">
        <f>'CS_3 Y stage'!L7</f>
        <v>5.7971130435014511E-6</v>
      </c>
      <c r="J96" s="132">
        <f>'CS_3 Y stage'!M7</f>
        <v>0</v>
      </c>
      <c r="K96" s="132">
        <f>'CS_3 Y stage'!N7</f>
        <v>0</v>
      </c>
      <c r="L96" s="132">
        <f>'CS_3 Y stage'!O7</f>
        <v>0</v>
      </c>
      <c r="M96" s="29">
        <f t="shared" si="24"/>
        <v>0</v>
      </c>
      <c r="N96" s="46" t="s">
        <v>112</v>
      </c>
      <c r="O96" s="31">
        <f t="shared" ref="O96:O97" si="25">AW95</f>
        <v>-4.9999583334736641E-3</v>
      </c>
      <c r="P96" s="31">
        <f t="shared" ref="P96:P97" si="26">BB95</f>
        <v>0</v>
      </c>
      <c r="Q96" s="31">
        <f t="shared" ref="Q96:Q97" si="27">BG95</f>
        <v>19.994666709999851</v>
      </c>
      <c r="AB96" t="s">
        <v>72</v>
      </c>
      <c r="AC96" s="29">
        <f>C81</f>
        <v>0</v>
      </c>
      <c r="AD96" s="29"/>
      <c r="AE96" s="78">
        <v>0</v>
      </c>
      <c r="AF96" s="49">
        <f>-AG95</f>
        <v>9.9998333341666645E-3</v>
      </c>
      <c r="AG96" s="49">
        <f>AF95</f>
        <v>0.99995000041666526</v>
      </c>
      <c r="AH96" s="79">
        <v>0</v>
      </c>
      <c r="AI96" s="80"/>
      <c r="AJ96" s="49">
        <f>-SIN(AK93)</f>
        <v>-9.9998333341666645E-3</v>
      </c>
      <c r="AK96" s="49">
        <v>0</v>
      </c>
      <c r="AL96" s="49">
        <f>COS(AK93)</f>
        <v>0.99995000041666526</v>
      </c>
      <c r="AM96" s="49">
        <v>0</v>
      </c>
      <c r="AN96" s="80"/>
      <c r="AO96" s="49">
        <v>0</v>
      </c>
      <c r="AP96" s="49">
        <v>0</v>
      </c>
      <c r="AQ96" s="49">
        <v>1</v>
      </c>
      <c r="AR96" s="49">
        <v>0</v>
      </c>
      <c r="AS96" s="80"/>
      <c r="AT96" s="29" t="s">
        <v>65</v>
      </c>
      <c r="AU96" s="49">
        <v>9.9998333341666645E-3</v>
      </c>
      <c r="AV96" s="49">
        <f>AU96-$AC96</f>
        <v>9.9998333341666645E-3</v>
      </c>
      <c r="AW96" s="49">
        <f>AV96/AF93</f>
        <v>0.99998333341666645</v>
      </c>
      <c r="AX96" s="80"/>
      <c r="AY96" s="29" t="s">
        <v>65</v>
      </c>
      <c r="AZ96" s="49">
        <v>-0.1999966666833333</v>
      </c>
      <c r="BA96" s="49">
        <f>AZ96-$AC96</f>
        <v>-0.1999966666833333</v>
      </c>
      <c r="BB96" s="49">
        <f>BA96/AK93</f>
        <v>-19.99966666833333</v>
      </c>
      <c r="BC96" s="80"/>
      <c r="BD96" s="29" t="s">
        <v>65</v>
      </c>
      <c r="BE96" s="49">
        <v>0</v>
      </c>
      <c r="BF96" s="49">
        <f>BE96-$AC96</f>
        <v>0</v>
      </c>
      <c r="BG96" s="49">
        <f>BF96/AP93</f>
        <v>0</v>
      </c>
    </row>
    <row r="97" spans="1:59" ht="15" customHeight="1" x14ac:dyDescent="0.25">
      <c r="A97" s="342"/>
      <c r="B97" s="41" t="s">
        <v>108</v>
      </c>
      <c r="C97" s="43">
        <v>1</v>
      </c>
      <c r="E97" s="4" t="s">
        <v>85</v>
      </c>
      <c r="F97" s="49">
        <v>0</v>
      </c>
      <c r="G97" s="132">
        <f>'CS_3 Y stage'!J8</f>
        <v>0</v>
      </c>
      <c r="H97" s="132">
        <f>'CS_3 Y stage'!K8</f>
        <v>0</v>
      </c>
      <c r="I97" s="132">
        <f>'CS_3 Y stage'!L8</f>
        <v>0</v>
      </c>
      <c r="J97" s="132">
        <f>'CS_3 Y stage'!M8</f>
        <v>0</v>
      </c>
      <c r="K97" s="132">
        <f>'CS_3 Y stage'!N8</f>
        <v>0</v>
      </c>
      <c r="L97" s="132">
        <f>'CS_3 Y stage'!O8</f>
        <v>0</v>
      </c>
      <c r="M97" s="29">
        <f>C98</f>
        <v>0</v>
      </c>
      <c r="N97" s="46" t="s">
        <v>113</v>
      </c>
      <c r="O97" s="31">
        <f t="shared" si="25"/>
        <v>0.99998333341666645</v>
      </c>
      <c r="P97" s="31">
        <f t="shared" si="26"/>
        <v>-19.99966666833333</v>
      </c>
      <c r="Q97" s="31">
        <f t="shared" si="27"/>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42"/>
      <c r="B98" s="41" t="s">
        <v>103</v>
      </c>
      <c r="C98" s="43">
        <f t="array" ref="C98:C101">MMULT(O66:R69,E74:E77)</f>
        <v>0</v>
      </c>
      <c r="E98" s="4" t="s">
        <v>86</v>
      </c>
      <c r="F98" s="49">
        <v>0</v>
      </c>
      <c r="G98" s="132">
        <f>'CS_3 Y stage'!J9</f>
        <v>0</v>
      </c>
      <c r="H98" s="132">
        <f>'CS_3 Y stage'!K9</f>
        <v>0</v>
      </c>
      <c r="I98" s="132">
        <f>'CS_3 Y stage'!L9</f>
        <v>0</v>
      </c>
      <c r="J98" s="132">
        <f>'CS_3 Y stage'!M9</f>
        <v>0</v>
      </c>
      <c r="K98" s="132">
        <f>'CS_3 Y stage'!N9</f>
        <v>0</v>
      </c>
      <c r="L98" s="132">
        <f>'CS_3 Y stage'!O9</f>
        <v>0</v>
      </c>
      <c r="M98" s="29">
        <f>C99</f>
        <v>0</v>
      </c>
      <c r="O98" s="3" t="s">
        <v>82</v>
      </c>
      <c r="T98" s="3" t="s">
        <v>83</v>
      </c>
      <c r="AE98" t="s">
        <v>95</v>
      </c>
      <c r="AJ98" t="s">
        <v>94</v>
      </c>
      <c r="AO98" t="s">
        <v>96</v>
      </c>
    </row>
    <row r="99" spans="1:59" ht="15" customHeight="1" x14ac:dyDescent="0.25">
      <c r="A99" s="342"/>
      <c r="B99" s="41" t="s">
        <v>104</v>
      </c>
      <c r="C99" s="43">
        <v>0</v>
      </c>
      <c r="E99" s="4" t="s">
        <v>87</v>
      </c>
      <c r="F99" s="49">
        <v>0</v>
      </c>
      <c r="G99" s="132">
        <f>'CS_3 Y stage'!J10</f>
        <v>0</v>
      </c>
      <c r="H99" s="132">
        <f>'CS_3 Y stage'!K10</f>
        <v>0</v>
      </c>
      <c r="I99" s="132">
        <f>'CS_3 Y stage'!L10</f>
        <v>0</v>
      </c>
      <c r="J99" s="132">
        <f>'CS_3 Y stage'!M10</f>
        <v>0</v>
      </c>
      <c r="K99" s="132">
        <f>'CS_3 Y stage'!N10</f>
        <v>0</v>
      </c>
      <c r="L99" s="132">
        <f>'CS_3 Y stage'!O10</f>
        <v>0</v>
      </c>
      <c r="M99" s="29">
        <f>C100</f>
        <v>-458</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20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42"/>
      <c r="B100" s="41" t="s">
        <v>105</v>
      </c>
      <c r="C100" s="43">
        <v>-458</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1</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42"/>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42"/>
      <c r="B102" s="77" t="s">
        <v>182</v>
      </c>
      <c r="C102"/>
      <c r="D102" s="90" t="s">
        <v>245</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42"/>
      <c r="B103" s="41" t="s">
        <v>100</v>
      </c>
      <c r="C103" s="42">
        <v>0</v>
      </c>
      <c r="D103" s="41" t="s">
        <v>100</v>
      </c>
      <c r="E103" s="43">
        <f>C94+C103</f>
        <v>3</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42"/>
      <c r="B104" s="41" t="s">
        <v>101</v>
      </c>
      <c r="C104" s="42">
        <v>0</v>
      </c>
      <c r="D104" s="41" t="s">
        <v>101</v>
      </c>
      <c r="E104" s="43">
        <f>C95+C104</f>
        <v>-10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42"/>
      <c r="B105" s="41" t="s">
        <v>102</v>
      </c>
      <c r="C105" s="42">
        <v>0</v>
      </c>
      <c r="D105" s="41" t="s">
        <v>102</v>
      </c>
      <c r="E105" s="43">
        <f>C96+C105</f>
        <v>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42"/>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42"/>
      <c r="B107" s="41" t="s">
        <v>103</v>
      </c>
      <c r="C107" s="42">
        <v>0</v>
      </c>
      <c r="D107" s="41" t="s">
        <v>103</v>
      </c>
      <c r="E107" s="43">
        <f>C98+C107+C96*C54-C95*C55</f>
        <v>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42"/>
      <c r="B108" s="41" t="s">
        <v>104</v>
      </c>
      <c r="C108" s="42">
        <v>0</v>
      </c>
      <c r="D108" s="41" t="s">
        <v>104</v>
      </c>
      <c r="E108" s="43">
        <f>C99+C108+C94*C55-C96*C53</f>
        <v>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42"/>
      <c r="B109" s="130" t="s">
        <v>105</v>
      </c>
      <c r="C109" s="133">
        <v>0</v>
      </c>
      <c r="D109" s="41" t="s">
        <v>105</v>
      </c>
      <c r="E109" s="43">
        <f>C100+C109+C95*C53-C94*C54</f>
        <v>-203</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43"/>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38" t="s">
        <v>323</v>
      </c>
      <c r="B111" s="68" t="s">
        <v>249</v>
      </c>
      <c r="E111" s="1" t="s">
        <v>143</v>
      </c>
    </row>
    <row r="112" spans="1:59" ht="15" customHeight="1" x14ac:dyDescent="0.25">
      <c r="A112" s="338"/>
      <c r="B112" s="12" t="s">
        <v>73</v>
      </c>
      <c r="C112" s="56">
        <f>C90</f>
        <v>14</v>
      </c>
      <c r="E112" s="324" t="s">
        <v>138</v>
      </c>
      <c r="F112" s="324"/>
      <c r="G112" s="324" t="s">
        <v>139</v>
      </c>
      <c r="H112" s="324"/>
      <c r="N112" s="34" t="s">
        <v>98</v>
      </c>
      <c r="O112" s="1"/>
      <c r="P112" s="67"/>
      <c r="Q112" s="1"/>
      <c r="R112" s="1"/>
      <c r="S112" s="34" t="s">
        <v>136</v>
      </c>
      <c r="Y112" s="95" t="s">
        <v>297</v>
      </c>
    </row>
    <row r="113" spans="1:62" ht="15" customHeight="1" x14ac:dyDescent="0.25">
      <c r="A113" s="338"/>
      <c r="B113" s="12" t="s">
        <v>74</v>
      </c>
      <c r="C113" s="56">
        <f>C91</f>
        <v>1</v>
      </c>
      <c r="E113" s="46" t="s">
        <v>84</v>
      </c>
      <c r="F113" s="48">
        <f>'CS_4 Vise'!B45</f>
        <v>0</v>
      </c>
      <c r="G113" s="46" t="s">
        <v>84</v>
      </c>
      <c r="H113" s="48">
        <f>'CS_4 Vise'!B52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38"/>
      <c r="B114" s="12" t="s">
        <v>75</v>
      </c>
      <c r="C114" s="56">
        <f>C92</f>
        <v>0</v>
      </c>
      <c r="E114" s="46" t="s">
        <v>112</v>
      </c>
      <c r="F114" s="48">
        <f>'CS_4 Vise'!B46</f>
        <v>0</v>
      </c>
      <c r="G114" s="46" t="s">
        <v>112</v>
      </c>
      <c r="H114" s="48">
        <f>'CS_4 Vise'!B53</f>
        <v>0</v>
      </c>
      <c r="N114" s="46" t="s">
        <v>84</v>
      </c>
      <c r="O114" s="50">
        <f>ABS(F113)</f>
        <v>0</v>
      </c>
      <c r="P114" s="50">
        <f>ABS(F116*O128)</f>
        <v>0</v>
      </c>
      <c r="Q114" s="50">
        <f>ABS(F117*P128)</f>
        <v>0</v>
      </c>
      <c r="R114" s="50">
        <f>ABS(F118*Q128)</f>
        <v>0</v>
      </c>
      <c r="S114" s="46" t="s">
        <v>84</v>
      </c>
      <c r="T114" s="49">
        <f t="array" ref="T114:W117">ABS(MMULT(T132:W135,O114:R117))</f>
        <v>0</v>
      </c>
      <c r="U114" s="49">
        <v>0</v>
      </c>
      <c r="V114" s="49">
        <v>0</v>
      </c>
      <c r="W114" s="49">
        <v>0</v>
      </c>
      <c r="X114" s="70" t="s">
        <v>84</v>
      </c>
      <c r="Y114" s="49">
        <f>F120+F127</f>
        <v>3E-10</v>
      </c>
      <c r="Z114" s="29">
        <f>F123*O128</f>
        <v>0</v>
      </c>
      <c r="AA114" s="29">
        <f>F124*P128</f>
        <v>0</v>
      </c>
      <c r="AB114" s="29">
        <f>F125*Q128</f>
        <v>2.7619405378914376E-3</v>
      </c>
    </row>
    <row r="115" spans="1:62" ht="15" customHeight="1" x14ac:dyDescent="0.25">
      <c r="A115" s="60">
        <v>4</v>
      </c>
      <c r="B115" s="1" t="s">
        <v>76</v>
      </c>
      <c r="E115" s="46" t="s">
        <v>113</v>
      </c>
      <c r="F115" s="48">
        <f>'CS_4 Vise'!B47</f>
        <v>0</v>
      </c>
      <c r="G115" s="46" t="s">
        <v>113</v>
      </c>
      <c r="H115" s="48">
        <f>'CS_4 Vise'!B54</f>
        <v>0</v>
      </c>
      <c r="N115" s="46" t="s">
        <v>112</v>
      </c>
      <c r="O115" s="50">
        <f t="shared" ref="O115:O116" si="28">ABS(F114)</f>
        <v>0</v>
      </c>
      <c r="P115" s="50">
        <f>ABS(F116*O129)</f>
        <v>0</v>
      </c>
      <c r="Q115" s="50">
        <f>ABS(F117*P129)</f>
        <v>0</v>
      </c>
      <c r="R115" s="50">
        <f>ABS(F118*Q129)</f>
        <v>0</v>
      </c>
      <c r="S115" s="46" t="s">
        <v>112</v>
      </c>
      <c r="T115" s="49">
        <v>0</v>
      </c>
      <c r="U115" s="49">
        <v>0</v>
      </c>
      <c r="V115" s="49">
        <v>0</v>
      </c>
      <c r="W115" s="49">
        <v>0</v>
      </c>
      <c r="X115" s="70" t="s">
        <v>112</v>
      </c>
      <c r="Y115" s="49">
        <f t="shared" ref="Y115:Y116" si="29">F121+F128</f>
        <v>-9.9999886902792381E-10</v>
      </c>
      <c r="Z115" s="29">
        <f>F123*O129</f>
        <v>0</v>
      </c>
      <c r="AA115" s="29">
        <f>F124*P129</f>
        <v>0</v>
      </c>
      <c r="AB115" s="29">
        <f>F125*Q129</f>
        <v>-3.6124613682063128E-2</v>
      </c>
    </row>
    <row r="116" spans="1:62" ht="15" customHeight="1" x14ac:dyDescent="0.25">
      <c r="A116" s="43">
        <f>IF(A115&gt;Naxes,0,1)</f>
        <v>1</v>
      </c>
      <c r="B116" s="2" t="s">
        <v>176</v>
      </c>
      <c r="C116" s="37">
        <v>0</v>
      </c>
      <c r="E116" s="4" t="s">
        <v>85</v>
      </c>
      <c r="F116" s="48">
        <f>'CS_4 Vise'!B48</f>
        <v>0</v>
      </c>
      <c r="G116" s="4" t="s">
        <v>85</v>
      </c>
      <c r="H116" s="48">
        <f>'CS_4 Vise'!B55</f>
        <v>0</v>
      </c>
      <c r="N116" s="46" t="s">
        <v>113</v>
      </c>
      <c r="O116" s="50">
        <f t="shared" si="28"/>
        <v>0</v>
      </c>
      <c r="P116" s="50">
        <f>ABS(F116*O130)</f>
        <v>0</v>
      </c>
      <c r="Q116" s="50">
        <f>ABS(F117*P130)</f>
        <v>0</v>
      </c>
      <c r="R116" s="50">
        <f>ABS(F118*Q130)</f>
        <v>0</v>
      </c>
      <c r="S116" s="46" t="s">
        <v>113</v>
      </c>
      <c r="T116" s="49">
        <v>0</v>
      </c>
      <c r="U116" s="49">
        <v>0</v>
      </c>
      <c r="V116" s="49">
        <v>0</v>
      </c>
      <c r="W116" s="49">
        <v>0</v>
      </c>
      <c r="X116" s="70" t="s">
        <v>113</v>
      </c>
      <c r="Y116" s="49">
        <f t="shared" si="29"/>
        <v>0</v>
      </c>
      <c r="Z116" s="29">
        <f>F123*O130</f>
        <v>0</v>
      </c>
      <c r="AA116" s="29">
        <f>F124*P130</f>
        <v>0</v>
      </c>
      <c r="AB116" s="29">
        <f>F125*Q130</f>
        <v>0</v>
      </c>
    </row>
    <row r="117" spans="1:62" ht="15" customHeight="1" x14ac:dyDescent="0.25">
      <c r="A117" s="336" t="s">
        <v>127</v>
      </c>
      <c r="B117" s="2" t="s">
        <v>178</v>
      </c>
      <c r="C117" s="37">
        <v>0</v>
      </c>
      <c r="E117" s="4" t="s">
        <v>86</v>
      </c>
      <c r="F117" s="48">
        <f>'CS_4 Vise'!B49</f>
        <v>0</v>
      </c>
      <c r="G117" s="4" t="s">
        <v>86</v>
      </c>
      <c r="H117" s="48">
        <f>'CS_4 Vise'!B56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36"/>
      <c r="B118" s="2" t="s">
        <v>177</v>
      </c>
      <c r="C118" s="37">
        <v>0</v>
      </c>
      <c r="E118" s="4" t="s">
        <v>87</v>
      </c>
      <c r="F118" s="48">
        <f>'CS_4 Vise'!B50</f>
        <v>0</v>
      </c>
      <c r="G118" s="4" t="s">
        <v>87</v>
      </c>
      <c r="H118" s="48">
        <f>'CS_4 Vise'!B57</f>
        <v>0</v>
      </c>
      <c r="X118" s="6"/>
    </row>
    <row r="119" spans="1:62" ht="33" customHeight="1" x14ac:dyDescent="0.25">
      <c r="A119" s="336"/>
      <c r="B119" s="2" t="s">
        <v>244</v>
      </c>
      <c r="C119" s="37">
        <v>-8</v>
      </c>
      <c r="E119" s="337" t="s">
        <v>303</v>
      </c>
      <c r="F119" s="337"/>
      <c r="G119" s="324" t="s">
        <v>250</v>
      </c>
      <c r="H119" s="324"/>
      <c r="I119" s="337" t="s">
        <v>306</v>
      </c>
      <c r="J119" s="337"/>
      <c r="K119" s="337" t="s">
        <v>304</v>
      </c>
      <c r="L119" s="337"/>
      <c r="N119" s="34" t="s">
        <v>99</v>
      </c>
      <c r="O119" s="1"/>
      <c r="P119" s="67"/>
      <c r="Q119" s="1"/>
      <c r="R119" s="1"/>
      <c r="S119" s="34" t="s">
        <v>137</v>
      </c>
      <c r="X119" s="6"/>
      <c r="Y119" s="95" t="s">
        <v>296</v>
      </c>
    </row>
    <row r="120" spans="1:62" ht="15" customHeight="1" x14ac:dyDescent="0.25">
      <c r="A120" s="336"/>
      <c r="B120" s="2" t="s">
        <v>77</v>
      </c>
      <c r="C120" s="37">
        <v>0</v>
      </c>
      <c r="E120" s="46" t="s">
        <v>84</v>
      </c>
      <c r="F120" s="49">
        <f>E136/IF(H120=0,1000000000000,H120)</f>
        <v>3E-10</v>
      </c>
      <c r="G120" s="4" t="s">
        <v>117</v>
      </c>
      <c r="H120" s="29">
        <f>'CS_4 Vise'!B25</f>
        <v>10000000000</v>
      </c>
      <c r="I120" s="4" t="s">
        <v>85</v>
      </c>
      <c r="J120" s="49">
        <f>F163</f>
        <v>0</v>
      </c>
      <c r="K120" s="4" t="s">
        <v>85</v>
      </c>
      <c r="L120" s="139">
        <f t="array" ref="L120:L123">MMULT(MINVERSE(O132:R135),J120:J123)</f>
        <v>0</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41" t="s">
        <v>383</v>
      </c>
      <c r="B121" s="2" t="s">
        <v>107</v>
      </c>
      <c r="C121" s="37">
        <v>0</v>
      </c>
      <c r="E121" s="46" t="s">
        <v>112</v>
      </c>
      <c r="F121" s="49">
        <f t="shared" ref="F121:F122" si="30">E137/IF(H121=0,1000000000000,H121)</f>
        <v>-9.9999886902792381E-10</v>
      </c>
      <c r="G121" s="4" t="s">
        <v>118</v>
      </c>
      <c r="H121" s="29">
        <f>'CS_4 Vise'!B26</f>
        <v>10000011309.733553</v>
      </c>
      <c r="I121" s="4" t="s">
        <v>86</v>
      </c>
      <c r="J121" s="49">
        <f t="shared" ref="J121:J122" si="31">F164</f>
        <v>0</v>
      </c>
      <c r="K121" s="4" t="s">
        <v>86</v>
      </c>
      <c r="L121" s="139">
        <v>0</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3E-10</v>
      </c>
      <c r="Z121" s="29">
        <f t="array" ref="Z121:Z124">MMULT(T132:W135,Z114:Z117)</f>
        <v>0</v>
      </c>
      <c r="AA121" s="29">
        <f t="array" ref="AA121:AA124">MMULT(T132:W135,AA114:AA117)</f>
        <v>0</v>
      </c>
      <c r="AB121" s="29">
        <f t="array" ref="AB121:AB124">MMULT(T132:W135,AB114:AB117)</f>
        <v>2.7619405378914376E-3</v>
      </c>
    </row>
    <row r="122" spans="1:62" ht="15" customHeight="1" x14ac:dyDescent="0.25">
      <c r="A122" s="342"/>
      <c r="B122" s="34" t="s">
        <v>78</v>
      </c>
      <c r="E122" s="46" t="s">
        <v>113</v>
      </c>
      <c r="F122" s="49">
        <f t="shared" si="30"/>
        <v>0</v>
      </c>
      <c r="G122" s="4" t="s">
        <v>119</v>
      </c>
      <c r="H122" s="29">
        <f>'CS_4 Vise'!B27</f>
        <v>10000000000</v>
      </c>
      <c r="I122" s="4" t="s">
        <v>87</v>
      </c>
      <c r="J122" s="49">
        <f t="shared" si="31"/>
        <v>-2.5812942332716781E-3</v>
      </c>
      <c r="K122" s="4" t="s">
        <v>87</v>
      </c>
      <c r="L122" s="139">
        <v>-2.5812942332716781E-3</v>
      </c>
      <c r="N122" s="46" t="s">
        <v>112</v>
      </c>
      <c r="O122" s="50">
        <f>H114</f>
        <v>0</v>
      </c>
      <c r="P122" s="50">
        <f>H116*O129</f>
        <v>0</v>
      </c>
      <c r="Q122" s="50">
        <f>H117*P129</f>
        <v>0</v>
      </c>
      <c r="R122" s="50">
        <f>H118*Q129</f>
        <v>0</v>
      </c>
      <c r="S122" s="46" t="s">
        <v>112</v>
      </c>
      <c r="T122" s="50">
        <v>0</v>
      </c>
      <c r="U122" s="50">
        <v>0</v>
      </c>
      <c r="V122" s="50">
        <v>0</v>
      </c>
      <c r="W122" s="50">
        <v>0</v>
      </c>
      <c r="X122" s="70" t="s">
        <v>112</v>
      </c>
      <c r="Y122" s="29">
        <v>-9.9999886902792381E-10</v>
      </c>
      <c r="Z122" s="29">
        <v>0</v>
      </c>
      <c r="AA122" s="29">
        <v>0</v>
      </c>
      <c r="AB122" s="29">
        <v>-3.6124613682063128E-2</v>
      </c>
    </row>
    <row r="123" spans="1:62" ht="15" customHeight="1" x14ac:dyDescent="0.25">
      <c r="A123" s="342"/>
      <c r="B123" s="12" t="s">
        <v>79</v>
      </c>
      <c r="C123" s="31">
        <f>AC132+C119</f>
        <v>6</v>
      </c>
      <c r="E123" s="4" t="s">
        <v>85</v>
      </c>
      <c r="F123" s="49">
        <f>E140/IF(H123=0,1000000000000,H123)+L120</f>
        <v>0</v>
      </c>
      <c r="G123" s="46" t="s">
        <v>8</v>
      </c>
      <c r="H123" s="29">
        <f>'CS_4 Vise'!B29</f>
        <v>10000000000</v>
      </c>
      <c r="I123" s="4" t="s">
        <v>305</v>
      </c>
      <c r="J123" s="29">
        <v>1</v>
      </c>
      <c r="K123" s="4" t="s">
        <v>305</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0</v>
      </c>
      <c r="Z123" s="29">
        <v>0</v>
      </c>
      <c r="AA123" s="29">
        <v>0</v>
      </c>
      <c r="AB123" s="29">
        <v>0</v>
      </c>
    </row>
    <row r="124" spans="1:62" ht="15" customHeight="1" x14ac:dyDescent="0.25">
      <c r="A124" s="342"/>
      <c r="B124" s="12" t="s">
        <v>80</v>
      </c>
      <c r="C124" s="31">
        <f>AC133+C120</f>
        <v>1</v>
      </c>
      <c r="E124" s="4" t="s">
        <v>86</v>
      </c>
      <c r="F124" s="49">
        <f t="shared" ref="F124:F125" si="32">E141/IF(H124=0,1000000000000,H124)+L121</f>
        <v>0</v>
      </c>
      <c r="G124" s="46" t="s">
        <v>120</v>
      </c>
      <c r="H124" s="29">
        <f>'CS_4 Vise'!B30</f>
        <v>650000000000</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42"/>
      <c r="B125" s="12" t="s">
        <v>81</v>
      </c>
      <c r="C125" s="31">
        <f>AC134+C121</f>
        <v>0</v>
      </c>
      <c r="E125" s="4" t="s">
        <v>87</v>
      </c>
      <c r="F125" s="49">
        <f t="shared" si="32"/>
        <v>-2.581294453271678E-3</v>
      </c>
      <c r="G125" s="46" t="s">
        <v>116</v>
      </c>
      <c r="H125" s="29">
        <f>'CS_4 Vise'!B31</f>
        <v>650000000000</v>
      </c>
      <c r="AB125" s="5"/>
      <c r="AU125" s="5" t="s">
        <v>67</v>
      </c>
      <c r="AZ125" s="5" t="s">
        <v>92</v>
      </c>
      <c r="BE125" s="5" t="s">
        <v>97</v>
      </c>
      <c r="BJ125" s="5" t="s">
        <v>97</v>
      </c>
    </row>
    <row r="126" spans="1:62" ht="31.5" x14ac:dyDescent="0.25">
      <c r="A126" s="342"/>
      <c r="B126" s="69" t="s">
        <v>106</v>
      </c>
      <c r="E126" s="324" t="s">
        <v>294</v>
      </c>
      <c r="F126" s="344"/>
      <c r="G126" s="345" t="s">
        <v>293</v>
      </c>
      <c r="H126" s="346"/>
      <c r="I126" s="346"/>
      <c r="J126" s="346"/>
      <c r="K126" s="346"/>
      <c r="L126" s="347"/>
      <c r="M126" s="94" t="s">
        <v>295</v>
      </c>
      <c r="N126" s="85" t="s">
        <v>247</v>
      </c>
      <c r="AE126" t="s">
        <v>226</v>
      </c>
      <c r="AF126" s="92">
        <v>0.01</v>
      </c>
      <c r="AJ126" t="s">
        <v>93</v>
      </c>
      <c r="AK126" s="93">
        <v>0.01</v>
      </c>
      <c r="AL126" s="7"/>
      <c r="AM126" s="7"/>
      <c r="AO126" t="s">
        <v>225</v>
      </c>
      <c r="AP126" s="92">
        <v>0.01</v>
      </c>
      <c r="AU126" s="7" t="s">
        <v>0</v>
      </c>
      <c r="AV126" s="7" t="s">
        <v>1</v>
      </c>
      <c r="AW126" s="7" t="s">
        <v>2</v>
      </c>
      <c r="AZ126" s="7" t="s">
        <v>0</v>
      </c>
      <c r="BA126" s="7" t="s">
        <v>1</v>
      </c>
      <c r="BB126" s="7" t="s">
        <v>2</v>
      </c>
      <c r="BE126" s="7" t="s">
        <v>0</v>
      </c>
      <c r="BF126" s="7" t="s">
        <v>1</v>
      </c>
      <c r="BG126" s="7" t="s">
        <v>2</v>
      </c>
    </row>
    <row r="127" spans="1:62" ht="15" customHeight="1" x14ac:dyDescent="0.25">
      <c r="A127" s="342"/>
      <c r="B127" s="41" t="s">
        <v>100</v>
      </c>
      <c r="C127" s="43">
        <f t="array" ref="C127:C130">MMULT(O99:R102,E103:E106)</f>
        <v>3</v>
      </c>
      <c r="E127" s="46" t="s">
        <v>84</v>
      </c>
      <c r="F127" s="49">
        <f t="array" ref="F127:F132">MMULT(G127:L132,M127:M132)</f>
        <v>0</v>
      </c>
      <c r="G127" s="132">
        <f>'CS_4 Vise'!G5</f>
        <v>0</v>
      </c>
      <c r="H127" s="132">
        <f>'CS_4 Vise'!H5</f>
        <v>0</v>
      </c>
      <c r="I127" s="132">
        <f>'CS_4 Vise'!I5</f>
        <v>0</v>
      </c>
      <c r="J127" s="132">
        <f>'CS_4 Vise'!J5</f>
        <v>0</v>
      </c>
      <c r="K127" s="132">
        <f>'CS_4 Vise'!K5</f>
        <v>0</v>
      </c>
      <c r="L127" s="132">
        <f>'CS_4 Vise'!L5</f>
        <v>0</v>
      </c>
      <c r="M127" s="29">
        <f>C127</f>
        <v>3</v>
      </c>
      <c r="O127" s="7" t="s">
        <v>4</v>
      </c>
      <c r="P127" s="26" t="s">
        <v>5</v>
      </c>
      <c r="Q127" s="26" t="s">
        <v>6</v>
      </c>
      <c r="R127" s="26"/>
      <c r="S127" s="26"/>
      <c r="T127" s="26"/>
      <c r="U127" s="26"/>
      <c r="V127" s="26"/>
      <c r="W127" s="26"/>
      <c r="X127" s="26"/>
      <c r="Y127" s="26"/>
      <c r="Z127" s="26"/>
      <c r="AA127" s="26"/>
      <c r="AB127" t="s">
        <v>66</v>
      </c>
      <c r="AC127" s="29">
        <f>C112</f>
        <v>14</v>
      </c>
      <c r="AD127" s="29"/>
      <c r="AE127" s="78">
        <v>1</v>
      </c>
      <c r="AF127" s="49">
        <v>0</v>
      </c>
      <c r="AG127" s="49">
        <v>0</v>
      </c>
      <c r="AH127" s="79">
        <v>0</v>
      </c>
      <c r="AI127" s="80"/>
      <c r="AJ127" s="49">
        <f>COS(AK126)</f>
        <v>0.99995000041666526</v>
      </c>
      <c r="AK127" s="49">
        <v>0</v>
      </c>
      <c r="AL127" s="49">
        <f>-AJ129</f>
        <v>9.9998333341666645E-3</v>
      </c>
      <c r="AM127" s="49">
        <v>0</v>
      </c>
      <c r="AN127" s="80"/>
      <c r="AO127" s="49">
        <f>COS(AP126)</f>
        <v>0.99995000041666526</v>
      </c>
      <c r="AP127" s="49">
        <f>-AO128</f>
        <v>-9.9998333341666645E-3</v>
      </c>
      <c r="AQ127" s="49">
        <v>0</v>
      </c>
      <c r="AR127" s="49">
        <v>0</v>
      </c>
      <c r="AS127" s="80"/>
      <c r="AT127" s="29" t="s">
        <v>63</v>
      </c>
      <c r="AU127" s="49">
        <f t="array" ref="AU127:AU130">MMULT(AE127:AH130,$AC127:$AC130)</f>
        <v>14</v>
      </c>
      <c r="AV127" s="49">
        <f>AU127-$AC127</f>
        <v>0</v>
      </c>
      <c r="AW127" s="49">
        <f>AV127/AF126</f>
        <v>0</v>
      </c>
      <c r="AX127" s="80"/>
      <c r="AY127" s="29" t="s">
        <v>63</v>
      </c>
      <c r="AZ127" s="49">
        <f t="array" ref="AZ127:AZ130">MMULT(AJ127:AM130,$AC127:$AC130)</f>
        <v>13.999300005833314</v>
      </c>
      <c r="BA127" s="49">
        <f>AZ127-$AC127</f>
        <v>-6.9999416668586889E-4</v>
      </c>
      <c r="BB127" s="49">
        <f>BA127/AK126</f>
        <v>-6.9999416668586889E-2</v>
      </c>
      <c r="BC127" s="80"/>
      <c r="BD127" s="29" t="s">
        <v>63</v>
      </c>
      <c r="BE127" s="49">
        <f t="array" ref="BE127:BE130">MMULT(AO127:AR130,$AC127:$AC130)</f>
        <v>13.989300172499147</v>
      </c>
      <c r="BF127" s="49">
        <f>BE127-$AC127</f>
        <v>-1.0699827500852521E-2</v>
      </c>
      <c r="BG127" s="49">
        <f>BF127/AP126</f>
        <v>-1.0699827500852521</v>
      </c>
    </row>
    <row r="128" spans="1:62" x14ac:dyDescent="0.25">
      <c r="A128" s="342"/>
      <c r="B128" s="41" t="s">
        <v>101</v>
      </c>
      <c r="C128" s="43">
        <v>-10</v>
      </c>
      <c r="E128" s="46" t="s">
        <v>112</v>
      </c>
      <c r="F128" s="49">
        <v>0</v>
      </c>
      <c r="G128" s="132">
        <f>'CS_4 Vise'!G6</f>
        <v>0</v>
      </c>
      <c r="H128" s="132">
        <f>'CS_4 Vise'!H6</f>
        <v>0</v>
      </c>
      <c r="I128" s="132">
        <f>'CS_4 Vise'!I6</f>
        <v>0</v>
      </c>
      <c r="J128" s="132">
        <f>'CS_4 Vise'!J6</f>
        <v>0</v>
      </c>
      <c r="K128" s="132">
        <f>'CS_4 Vise'!K6</f>
        <v>0</v>
      </c>
      <c r="L128" s="132">
        <f>'CS_4 Vise'!L6</f>
        <v>0</v>
      </c>
      <c r="M128" s="29">
        <f t="shared" ref="M128:M129" si="33">C128</f>
        <v>-10</v>
      </c>
      <c r="N128" s="46" t="s">
        <v>84</v>
      </c>
      <c r="O128" s="31">
        <f>AW127</f>
        <v>0</v>
      </c>
      <c r="P128" s="31">
        <f>BB127</f>
        <v>-6.9999416668586889E-2</v>
      </c>
      <c r="Q128" s="31">
        <f>BG127</f>
        <v>-1.0699827500852521</v>
      </c>
      <c r="AB128" t="s">
        <v>71</v>
      </c>
      <c r="AC128" s="29">
        <f>C113</f>
        <v>1</v>
      </c>
      <c r="AD128" s="29"/>
      <c r="AE128" s="78">
        <v>0</v>
      </c>
      <c r="AF128" s="49">
        <f>COS(AF126)</f>
        <v>0.99995000041666526</v>
      </c>
      <c r="AG128" s="49">
        <f>-SIN(AF126)</f>
        <v>-9.9998333341666645E-3</v>
      </c>
      <c r="AH128" s="79">
        <v>0</v>
      </c>
      <c r="AI128" s="80"/>
      <c r="AJ128" s="49">
        <v>0</v>
      </c>
      <c r="AK128" s="49">
        <v>1</v>
      </c>
      <c r="AL128" s="49">
        <v>0</v>
      </c>
      <c r="AM128" s="49">
        <v>0</v>
      </c>
      <c r="AN128" s="80"/>
      <c r="AO128" s="49">
        <f>SIN(AP126)</f>
        <v>9.9998333341666645E-3</v>
      </c>
      <c r="AP128" s="49">
        <f>AO127</f>
        <v>0.99995000041666526</v>
      </c>
      <c r="AQ128" s="49">
        <v>0</v>
      </c>
      <c r="AR128" s="49">
        <v>0</v>
      </c>
      <c r="AS128" s="80"/>
      <c r="AT128" s="29" t="s">
        <v>64</v>
      </c>
      <c r="AU128" s="49">
        <v>0.99995000041666526</v>
      </c>
      <c r="AV128" s="49">
        <f>AU128-$AC128</f>
        <v>-4.9999583334736641E-5</v>
      </c>
      <c r="AW128" s="49">
        <f>AV128/AF126</f>
        <v>-4.9999583334736641E-3</v>
      </c>
      <c r="AX128" s="80"/>
      <c r="AY128" s="29" t="s">
        <v>64</v>
      </c>
      <c r="AZ128" s="49">
        <v>1</v>
      </c>
      <c r="BA128" s="49">
        <f>AZ128-$AC128</f>
        <v>0</v>
      </c>
      <c r="BB128" s="49">
        <f>BA128/AK126</f>
        <v>0</v>
      </c>
      <c r="BC128" s="80"/>
      <c r="BD128" s="29" t="s">
        <v>64</v>
      </c>
      <c r="BE128" s="49">
        <v>1.1399476670949986</v>
      </c>
      <c r="BF128" s="49">
        <f>BE128-$AC128</f>
        <v>0.13994766709499862</v>
      </c>
      <c r="BG128" s="49">
        <f>BF128/AP126</f>
        <v>13.994766709499862</v>
      </c>
    </row>
    <row r="129" spans="1:59" x14ac:dyDescent="0.25">
      <c r="A129" s="342"/>
      <c r="B129" s="41" t="s">
        <v>102</v>
      </c>
      <c r="C129" s="43">
        <v>0</v>
      </c>
      <c r="E129" s="46" t="s">
        <v>113</v>
      </c>
      <c r="F129" s="49">
        <v>0</v>
      </c>
      <c r="G129" s="132">
        <f>'CS_4 Vise'!G7</f>
        <v>0</v>
      </c>
      <c r="H129" s="132">
        <f>'CS_4 Vise'!H7</f>
        <v>0</v>
      </c>
      <c r="I129" s="132">
        <f>'CS_4 Vise'!I7</f>
        <v>0</v>
      </c>
      <c r="J129" s="132">
        <f>'CS_4 Vise'!J7</f>
        <v>0</v>
      </c>
      <c r="K129" s="132">
        <f>'CS_4 Vise'!K7</f>
        <v>0</v>
      </c>
      <c r="L129" s="132">
        <f>'CS_4 Vise'!L7</f>
        <v>0</v>
      </c>
      <c r="M129" s="29">
        <f t="shared" si="33"/>
        <v>0</v>
      </c>
      <c r="N129" s="46" t="s">
        <v>112</v>
      </c>
      <c r="O129" s="31">
        <f t="shared" ref="O129:O130" si="34">AW128</f>
        <v>-4.9999583334736641E-3</v>
      </c>
      <c r="P129" s="31">
        <f t="shared" ref="P129:P130" si="35">BB128</f>
        <v>0</v>
      </c>
      <c r="Q129" s="31">
        <f t="shared" ref="Q129:Q130" si="36">BG128</f>
        <v>13.994766709499862</v>
      </c>
      <c r="AB129" t="s">
        <v>72</v>
      </c>
      <c r="AC129" s="29">
        <f>C114</f>
        <v>0</v>
      </c>
      <c r="AD129" s="29"/>
      <c r="AE129" s="78">
        <v>0</v>
      </c>
      <c r="AF129" s="49">
        <f>-AG128</f>
        <v>9.9998333341666645E-3</v>
      </c>
      <c r="AG129" s="49">
        <f>AF128</f>
        <v>0.99995000041666526</v>
      </c>
      <c r="AH129" s="79">
        <v>0</v>
      </c>
      <c r="AI129" s="80"/>
      <c r="AJ129" s="49">
        <f>-SIN(AK126)</f>
        <v>-9.9998333341666645E-3</v>
      </c>
      <c r="AK129" s="49">
        <v>0</v>
      </c>
      <c r="AL129" s="49">
        <f>COS(AK126)</f>
        <v>0.99995000041666526</v>
      </c>
      <c r="AM129" s="49">
        <v>0</v>
      </c>
      <c r="AN129" s="80"/>
      <c r="AO129" s="49">
        <v>0</v>
      </c>
      <c r="AP129" s="49">
        <v>0</v>
      </c>
      <c r="AQ129" s="49">
        <v>1</v>
      </c>
      <c r="AR129" s="49">
        <v>0</v>
      </c>
      <c r="AS129" s="80"/>
      <c r="AT129" s="29" t="s">
        <v>65</v>
      </c>
      <c r="AU129" s="49">
        <v>9.9998333341666645E-3</v>
      </c>
      <c r="AV129" s="49">
        <f>AU129-$AC129</f>
        <v>9.9998333341666645E-3</v>
      </c>
      <c r="AW129" s="49">
        <f>AV129/AF126</f>
        <v>0.99998333341666645</v>
      </c>
      <c r="AX129" s="80"/>
      <c r="AY129" s="29" t="s">
        <v>65</v>
      </c>
      <c r="AZ129" s="49">
        <v>-0.1399976666783333</v>
      </c>
      <c r="BA129" s="49">
        <f>AZ129-$AC129</f>
        <v>-0.1399976666783333</v>
      </c>
      <c r="BB129" s="49">
        <f>BA129/AK126</f>
        <v>-13.999766667833329</v>
      </c>
      <c r="BC129" s="80"/>
      <c r="BD129" s="29" t="s">
        <v>65</v>
      </c>
      <c r="BE129" s="49">
        <v>0</v>
      </c>
      <c r="BF129" s="49">
        <f>BE129-$AC129</f>
        <v>0</v>
      </c>
      <c r="BG129" s="49">
        <f>BF129/AP126</f>
        <v>0</v>
      </c>
    </row>
    <row r="130" spans="1:59" ht="15" customHeight="1" x14ac:dyDescent="0.25">
      <c r="A130" s="342"/>
      <c r="B130" s="41" t="s">
        <v>108</v>
      </c>
      <c r="C130" s="43">
        <v>1</v>
      </c>
      <c r="E130" s="4" t="s">
        <v>85</v>
      </c>
      <c r="F130" s="49">
        <v>0</v>
      </c>
      <c r="G130" s="132">
        <f>'CS_4 Vise'!G8</f>
        <v>0</v>
      </c>
      <c r="H130" s="132">
        <f>'CS_4 Vise'!H8</f>
        <v>0</v>
      </c>
      <c r="I130" s="132">
        <f>'CS_4 Vise'!I8</f>
        <v>0</v>
      </c>
      <c r="J130" s="132">
        <f>'CS_4 Vise'!J8</f>
        <v>0</v>
      </c>
      <c r="K130" s="132">
        <f>'CS_4 Vise'!K8</f>
        <v>0</v>
      </c>
      <c r="L130" s="132">
        <f>'CS_4 Vise'!L8</f>
        <v>0</v>
      </c>
      <c r="M130" s="29">
        <f>C131</f>
        <v>0</v>
      </c>
      <c r="N130" s="46" t="s">
        <v>113</v>
      </c>
      <c r="O130" s="31">
        <f t="shared" si="34"/>
        <v>0.99998333341666645</v>
      </c>
      <c r="P130" s="31">
        <f t="shared" si="35"/>
        <v>-13.999766667833329</v>
      </c>
      <c r="Q130" s="31">
        <f t="shared" si="36"/>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42"/>
      <c r="B131" s="41" t="s">
        <v>103</v>
      </c>
      <c r="C131" s="43">
        <f t="array" ref="C131:C134">MMULT(O99:R102,E107:E110)</f>
        <v>0</v>
      </c>
      <c r="E131" s="4" t="s">
        <v>86</v>
      </c>
      <c r="F131" s="49">
        <v>0</v>
      </c>
      <c r="G131" s="132">
        <f>'CS_4 Vise'!G9</f>
        <v>0</v>
      </c>
      <c r="H131" s="132">
        <f>'CS_4 Vise'!H9</f>
        <v>0</v>
      </c>
      <c r="I131" s="132">
        <f>'CS_4 Vise'!I9</f>
        <v>0</v>
      </c>
      <c r="J131" s="132">
        <f>'CS_4 Vise'!J9</f>
        <v>0</v>
      </c>
      <c r="K131" s="132">
        <f>'CS_4 Vise'!K9</f>
        <v>0</v>
      </c>
      <c r="L131" s="132">
        <f>'CS_4 Vise'!L9</f>
        <v>0</v>
      </c>
      <c r="M131" s="29">
        <f>C132</f>
        <v>0</v>
      </c>
      <c r="O131" s="3" t="s">
        <v>82</v>
      </c>
      <c r="T131" s="3" t="s">
        <v>83</v>
      </c>
      <c r="AE131" t="s">
        <v>95</v>
      </c>
      <c r="AJ131" t="s">
        <v>94</v>
      </c>
      <c r="AO131" t="s">
        <v>96</v>
      </c>
    </row>
    <row r="132" spans="1:59" ht="15" customHeight="1" x14ac:dyDescent="0.25">
      <c r="A132" s="342"/>
      <c r="B132" s="41" t="s">
        <v>104</v>
      </c>
      <c r="C132" s="43">
        <v>0</v>
      </c>
      <c r="E132" s="4" t="s">
        <v>87</v>
      </c>
      <c r="F132" s="49">
        <v>0</v>
      </c>
      <c r="G132" s="132">
        <f>'CS_4 Vise'!G10</f>
        <v>0</v>
      </c>
      <c r="H132" s="132">
        <f>'CS_4 Vise'!H10</f>
        <v>0</v>
      </c>
      <c r="I132" s="132">
        <f>'CS_4 Vise'!I10</f>
        <v>0</v>
      </c>
      <c r="J132" s="132">
        <f>'CS_4 Vise'!J10</f>
        <v>0</v>
      </c>
      <c r="K132" s="132">
        <f>'CS_4 Vise'!K10</f>
        <v>0</v>
      </c>
      <c r="L132" s="132">
        <f>'CS_4 Vise'!L10</f>
        <v>0</v>
      </c>
      <c r="M132" s="29">
        <f>C133</f>
        <v>-203</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14</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42"/>
      <c r="B133" s="41" t="s">
        <v>105</v>
      </c>
      <c r="C133" s="43">
        <v>-203</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1</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42"/>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42"/>
      <c r="B135" s="77" t="s">
        <v>182</v>
      </c>
      <c r="C135"/>
      <c r="D135" s="90" t="s">
        <v>245</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42"/>
      <c r="B136" s="41" t="s">
        <v>100</v>
      </c>
      <c r="C136" s="42">
        <v>0</v>
      </c>
      <c r="D136" s="41" t="s">
        <v>100</v>
      </c>
      <c r="E136" s="43">
        <f>C127+C136</f>
        <v>3</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42"/>
      <c r="B137" s="41" t="s">
        <v>101</v>
      </c>
      <c r="C137" s="42">
        <v>0</v>
      </c>
      <c r="D137" s="41" t="s">
        <v>101</v>
      </c>
      <c r="E137" s="43">
        <f>C128+C137</f>
        <v>-10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42"/>
      <c r="B138" s="41" t="s">
        <v>102</v>
      </c>
      <c r="C138" s="42">
        <v>0</v>
      </c>
      <c r="D138" s="41" t="s">
        <v>102</v>
      </c>
      <c r="E138" s="43">
        <f>C129+C138</f>
        <v>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42"/>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42"/>
      <c r="B140" s="41" t="s">
        <v>103</v>
      </c>
      <c r="C140" s="42">
        <v>0</v>
      </c>
      <c r="D140" s="41" t="s">
        <v>103</v>
      </c>
      <c r="E140" s="43">
        <f>C131+C140+C129*C87-C128*C88</f>
        <v>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42"/>
      <c r="B141" s="41" t="s">
        <v>104</v>
      </c>
      <c r="C141" s="42">
        <v>0</v>
      </c>
      <c r="D141" s="41" t="s">
        <v>104</v>
      </c>
      <c r="E141" s="43">
        <f>C132+C141+C127*C88-C129*C86</f>
        <v>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42"/>
      <c r="B142" s="41" t="s">
        <v>105</v>
      </c>
      <c r="C142" s="42">
        <v>0</v>
      </c>
      <c r="D142" s="41" t="s">
        <v>105</v>
      </c>
      <c r="E142" s="43">
        <f>C133+C142+C128*C86-C127*C87</f>
        <v>-143</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43"/>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38" t="s">
        <v>324</v>
      </c>
      <c r="B144" s="68" t="s">
        <v>249</v>
      </c>
      <c r="E144" s="1" t="s">
        <v>144</v>
      </c>
    </row>
    <row r="145" spans="1:62" ht="15" customHeight="1" x14ac:dyDescent="0.25">
      <c r="A145" s="338"/>
      <c r="B145" s="12" t="s">
        <v>73</v>
      </c>
      <c r="C145" s="56">
        <f>C123</f>
        <v>6</v>
      </c>
      <c r="E145" s="324" t="s">
        <v>138</v>
      </c>
      <c r="F145" s="324"/>
      <c r="G145" s="324" t="s">
        <v>139</v>
      </c>
      <c r="H145" s="324"/>
      <c r="N145" s="34" t="s">
        <v>98</v>
      </c>
      <c r="O145" s="1"/>
      <c r="P145" s="67"/>
      <c r="Q145" s="1"/>
      <c r="R145" s="1"/>
      <c r="S145" s="34" t="s">
        <v>136</v>
      </c>
      <c r="Y145" s="95" t="s">
        <v>297</v>
      </c>
    </row>
    <row r="146" spans="1:62" ht="15" customHeight="1" x14ac:dyDescent="0.25">
      <c r="A146" s="338"/>
      <c r="B146" s="12" t="s">
        <v>74</v>
      </c>
      <c r="C146" s="56">
        <f>C124</f>
        <v>1</v>
      </c>
      <c r="E146" s="46" t="s">
        <v>84</v>
      </c>
      <c r="F146" s="48">
        <f>'CS_5 Workpiece'!B45</f>
        <v>0</v>
      </c>
      <c r="G146" s="46" t="s">
        <v>84</v>
      </c>
      <c r="H146" s="48">
        <f>'CS_5 Workpiece'!B52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38"/>
      <c r="B147" s="12" t="s">
        <v>75</v>
      </c>
      <c r="C147" s="56">
        <f>C125</f>
        <v>0</v>
      </c>
      <c r="E147" s="46" t="s">
        <v>112</v>
      </c>
      <c r="F147" s="48">
        <f>'CS_5 Workpiece'!B46</f>
        <v>0</v>
      </c>
      <c r="G147" s="46" t="s">
        <v>112</v>
      </c>
      <c r="H147" s="48">
        <f>'CS_5 Workpiece'!B53</f>
        <v>0</v>
      </c>
      <c r="N147" s="46" t="s">
        <v>84</v>
      </c>
      <c r="O147" s="50">
        <f>ABS(F146)</f>
        <v>0</v>
      </c>
      <c r="P147" s="50">
        <f>ABS(F149*O161)</f>
        <v>0</v>
      </c>
      <c r="Q147" s="50">
        <f>ABS(F150*P161)</f>
        <v>0</v>
      </c>
      <c r="R147" s="50">
        <f>ABS(F151*Q161)</f>
        <v>0</v>
      </c>
      <c r="S147" s="46" t="s">
        <v>84</v>
      </c>
      <c r="T147" s="49">
        <f t="array" ref="T147:W150">ABS(MMULT(T165:W168,O147:R150))</f>
        <v>0</v>
      </c>
      <c r="U147" s="49">
        <v>0</v>
      </c>
      <c r="V147" s="49">
        <v>0</v>
      </c>
      <c r="W147" s="49">
        <v>0</v>
      </c>
      <c r="X147" s="70" t="s">
        <v>84</v>
      </c>
      <c r="Y147" s="49">
        <f>F153+F160</f>
        <v>1.7979931097838225E-4</v>
      </c>
      <c r="Z147" s="29">
        <f>F156*O161</f>
        <v>0</v>
      </c>
      <c r="AA147" s="29">
        <f>F157*P161</f>
        <v>1.358853288223759E-9</v>
      </c>
      <c r="AB147" s="29">
        <f>F158*Q161</f>
        <v>1.6232231624741719E-5</v>
      </c>
    </row>
    <row r="148" spans="1:62" ht="15" customHeight="1" x14ac:dyDescent="0.25">
      <c r="A148" s="60">
        <v>5</v>
      </c>
      <c r="B148" s="1" t="s">
        <v>76</v>
      </c>
      <c r="E148" s="46" t="s">
        <v>113</v>
      </c>
      <c r="F148" s="48">
        <f>'CS_5 Workpiece'!B47</f>
        <v>0</v>
      </c>
      <c r="G148" s="46" t="s">
        <v>113</v>
      </c>
      <c r="H148" s="48">
        <f>'CS_5 Workpiece'!B54</f>
        <v>0</v>
      </c>
      <c r="N148" s="46" t="s">
        <v>112</v>
      </c>
      <c r="O148" s="50">
        <f t="shared" ref="O148:O149" si="37">ABS(F147)</f>
        <v>0</v>
      </c>
      <c r="P148" s="50">
        <f>ABS(F149*O162)</f>
        <v>0</v>
      </c>
      <c r="Q148" s="50">
        <f>ABS(F150*P162)</f>
        <v>0</v>
      </c>
      <c r="R148" s="50">
        <f>ABS(F151*Q162)</f>
        <v>0</v>
      </c>
      <c r="S148" s="46" t="s">
        <v>112</v>
      </c>
      <c r="T148" s="49">
        <v>0</v>
      </c>
      <c r="U148" s="49">
        <v>0</v>
      </c>
      <c r="V148" s="49">
        <v>0</v>
      </c>
      <c r="W148" s="49">
        <v>0</v>
      </c>
      <c r="X148" s="70" t="s">
        <v>112</v>
      </c>
      <c r="Y148" s="49">
        <f t="shared" ref="Y148:Y149" si="38">F154+F161</f>
        <v>-8.1940059772609899E-3</v>
      </c>
      <c r="Z148" s="29">
        <f>F156*O162</f>
        <v>-7.5491849345876124E-10</v>
      </c>
      <c r="AA148" s="29">
        <f>F157*P162</f>
        <v>0</v>
      </c>
      <c r="AB148" s="29">
        <f>F158*Q162</f>
        <v>-9.4477868246870827E-5</v>
      </c>
    </row>
    <row r="149" spans="1:62" ht="15" customHeight="1" x14ac:dyDescent="0.25">
      <c r="A149" s="43">
        <f>IF(A148&gt;Naxes,0,1)</f>
        <v>1</v>
      </c>
      <c r="B149" s="2" t="s">
        <v>176</v>
      </c>
      <c r="C149" s="37">
        <v>0</v>
      </c>
      <c r="E149" s="4" t="s">
        <v>85</v>
      </c>
      <c r="F149" s="48">
        <f>'CS_5 Workpiece'!B48</f>
        <v>0</v>
      </c>
      <c r="G149" s="4" t="s">
        <v>85</v>
      </c>
      <c r="H149" s="48">
        <f>'CS_5 Workpiece'!B55</f>
        <v>0</v>
      </c>
      <c r="N149" s="46" t="s">
        <v>113</v>
      </c>
      <c r="O149" s="50">
        <f t="shared" si="37"/>
        <v>0</v>
      </c>
      <c r="P149" s="50">
        <f>ABS(F149*O163)</f>
        <v>0</v>
      </c>
      <c r="Q149" s="50">
        <f>ABS(F150*P163)</f>
        <v>0</v>
      </c>
      <c r="R149" s="50">
        <f>ABS(F151*Q163)</f>
        <v>0</v>
      </c>
      <c r="S149" s="46" t="s">
        <v>113</v>
      </c>
      <c r="T149" s="49">
        <v>0</v>
      </c>
      <c r="U149" s="49">
        <v>0</v>
      </c>
      <c r="V149" s="49">
        <v>0</v>
      </c>
      <c r="W149" s="49">
        <v>0</v>
      </c>
      <c r="X149" s="70" t="s">
        <v>113</v>
      </c>
      <c r="Y149" s="49">
        <f t="shared" si="38"/>
        <v>0</v>
      </c>
      <c r="Z149" s="29">
        <f>F156*O163</f>
        <v>1.509824404921226E-7</v>
      </c>
      <c r="AA149" s="29">
        <f>F157*P163</f>
        <v>2.717683928858207E-7</v>
      </c>
      <c r="AB149" s="29">
        <f>F158*Q163</f>
        <v>0</v>
      </c>
    </row>
    <row r="150" spans="1:62" ht="15" customHeight="1" x14ac:dyDescent="0.25">
      <c r="A150" s="336" t="s">
        <v>127</v>
      </c>
      <c r="B150" s="2" t="s">
        <v>178</v>
      </c>
      <c r="C150" s="37">
        <v>0</v>
      </c>
      <c r="E150" s="4" t="s">
        <v>86</v>
      </c>
      <c r="F150" s="48">
        <f>'CS_5 Workpiece'!B49</f>
        <v>0</v>
      </c>
      <c r="G150" s="4" t="s">
        <v>86</v>
      </c>
      <c r="H150" s="48">
        <f>'CS_5 Workpiece'!B56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36"/>
      <c r="B151" s="2" t="s">
        <v>177</v>
      </c>
      <c r="C151" s="37">
        <v>0</v>
      </c>
      <c r="E151" s="4" t="s">
        <v>87</v>
      </c>
      <c r="F151" s="48">
        <f>'CS_5 Workpiece'!B50</f>
        <v>0</v>
      </c>
      <c r="G151" s="4" t="s">
        <v>87</v>
      </c>
      <c r="H151" s="48">
        <f>'CS_5 Workpiece'!B57</f>
        <v>0</v>
      </c>
      <c r="X151" s="6"/>
    </row>
    <row r="152" spans="1:62" ht="30.95" customHeight="1" x14ac:dyDescent="0.25">
      <c r="A152" s="336"/>
      <c r="B152" s="2" t="s">
        <v>244</v>
      </c>
      <c r="C152" s="37">
        <v>-6</v>
      </c>
      <c r="E152" s="337" t="s">
        <v>303</v>
      </c>
      <c r="F152" s="337"/>
      <c r="G152" s="324" t="s">
        <v>250</v>
      </c>
      <c r="H152" s="324"/>
      <c r="I152" s="337" t="s">
        <v>306</v>
      </c>
      <c r="J152" s="337"/>
      <c r="K152" s="337" t="s">
        <v>304</v>
      </c>
      <c r="L152" s="337"/>
      <c r="N152" s="34" t="s">
        <v>99</v>
      </c>
      <c r="O152" s="1"/>
      <c r="P152" s="67"/>
      <c r="Q152" s="1"/>
      <c r="R152" s="1"/>
      <c r="S152" s="34" t="s">
        <v>137</v>
      </c>
      <c r="X152" s="6"/>
      <c r="Y152" s="95" t="s">
        <v>296</v>
      </c>
    </row>
    <row r="153" spans="1:62" ht="15" customHeight="1" x14ac:dyDescent="0.25">
      <c r="A153" s="336"/>
      <c r="B153" s="2" t="s">
        <v>77</v>
      </c>
      <c r="C153" s="38">
        <v>0</v>
      </c>
      <c r="E153" s="46" t="s">
        <v>84</v>
      </c>
      <c r="F153" s="49">
        <f>E169/IF(H153=0,1000000000000,H153)</f>
        <v>7.5000000000000002E-7</v>
      </c>
      <c r="G153" s="4" t="s">
        <v>117</v>
      </c>
      <c r="H153" s="29">
        <f>'CS_5 Workpiece'!B25</f>
        <v>4000000</v>
      </c>
      <c r="I153" s="4" t="s">
        <v>85</v>
      </c>
      <c r="J153" s="49">
        <f>F196</f>
        <v>1.5098495689548881E-7</v>
      </c>
      <c r="K153" s="4" t="s">
        <v>85</v>
      </c>
      <c r="L153" s="139">
        <f t="array" ref="L153:L156">MMULT(MINVERSE(O165:R168),J153:J156)</f>
        <v>1.5098495689548881E-7</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48" t="s">
        <v>414</v>
      </c>
      <c r="B154" s="2" t="s">
        <v>107</v>
      </c>
      <c r="C154" s="37">
        <v>0</v>
      </c>
      <c r="E154" s="46" t="s">
        <v>112</v>
      </c>
      <c r="F154" s="49">
        <f t="shared" ref="F154:F155" si="39">E170/IF(H154=0,1000000000000,H154)</f>
        <v>-2.5000000000000002E-6</v>
      </c>
      <c r="G154" s="4" t="s">
        <v>118</v>
      </c>
      <c r="H154" s="29">
        <f>'CS_5 Workpiece'!B26</f>
        <v>4000000</v>
      </c>
      <c r="I154" s="4" t="s">
        <v>86</v>
      </c>
      <c r="J154" s="49">
        <f t="shared" ref="J154:J155" si="40">F197</f>
        <v>-4.529548706864665E-8</v>
      </c>
      <c r="K154" s="4" t="s">
        <v>86</v>
      </c>
      <c r="L154" s="139">
        <v>-4.529548706864665E-8</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1.7979931097838225E-4</v>
      </c>
      <c r="Z154" s="29">
        <f t="array" ref="Z154:Z157">MMULT(T165:W168,Z147:Z150)</f>
        <v>0</v>
      </c>
      <c r="AA154" s="29">
        <f t="array" ref="AA154:AA157">MMULT(T165:W168,AA147:AA150)</f>
        <v>1.358853288223759E-9</v>
      </c>
      <c r="AB154" s="29">
        <f t="array" ref="AB154:AB157">MMULT(T165:W168,AB147:AB150)</f>
        <v>1.6232231624741719E-5</v>
      </c>
    </row>
    <row r="155" spans="1:62" ht="15" customHeight="1" x14ac:dyDescent="0.25">
      <c r="A155" s="342"/>
      <c r="B155" s="34" t="s">
        <v>78</v>
      </c>
      <c r="E155" s="46" t="s">
        <v>113</v>
      </c>
      <c r="F155" s="49">
        <f t="shared" si="39"/>
        <v>0</v>
      </c>
      <c r="G155" s="4" t="s">
        <v>119</v>
      </c>
      <c r="H155" s="29">
        <f>'CS_5 Workpiece'!B27</f>
        <v>4000000</v>
      </c>
      <c r="I155" s="4" t="s">
        <v>87</v>
      </c>
      <c r="J155" s="49">
        <f t="shared" si="40"/>
        <v>-9.7070146856257055E-9</v>
      </c>
      <c r="K155" s="4" t="s">
        <v>87</v>
      </c>
      <c r="L155" s="139">
        <v>-9.7070146856257055E-9</v>
      </c>
      <c r="N155" s="46" t="s">
        <v>112</v>
      </c>
      <c r="O155" s="50">
        <f>H147</f>
        <v>0</v>
      </c>
      <c r="P155" s="50">
        <f>H149*O162</f>
        <v>0</v>
      </c>
      <c r="Q155" s="50">
        <f>H150*P162</f>
        <v>0</v>
      </c>
      <c r="R155" s="50">
        <f>H151*Q162</f>
        <v>0</v>
      </c>
      <c r="S155" s="46" t="s">
        <v>112</v>
      </c>
      <c r="T155" s="50">
        <v>0</v>
      </c>
      <c r="U155" s="50">
        <v>0</v>
      </c>
      <c r="V155" s="50">
        <v>0</v>
      </c>
      <c r="W155" s="50">
        <v>0</v>
      </c>
      <c r="X155" s="70" t="s">
        <v>112</v>
      </c>
      <c r="Y155" s="29">
        <v>-8.1940059772609899E-3</v>
      </c>
      <c r="Z155" s="29">
        <v>-7.5491849345876124E-10</v>
      </c>
      <c r="AA155" s="29">
        <v>0</v>
      </c>
      <c r="AB155" s="29">
        <v>-9.4477868246870827E-5</v>
      </c>
    </row>
    <row r="156" spans="1:62" ht="15" customHeight="1" x14ac:dyDescent="0.25">
      <c r="A156" s="342"/>
      <c r="B156" s="12" t="s">
        <v>79</v>
      </c>
      <c r="C156" s="31">
        <f>AC165+C152</f>
        <v>0</v>
      </c>
      <c r="E156" s="4" t="s">
        <v>85</v>
      </c>
      <c r="F156" s="49">
        <f>E173/IF(H156=0,1000000000000,H156)+L153</f>
        <v>1.5098495689548881E-7</v>
      </c>
      <c r="G156" s="46" t="s">
        <v>8</v>
      </c>
      <c r="H156" s="29">
        <f>'CS_5 Workpiece'!B29</f>
        <v>4000000</v>
      </c>
      <c r="I156" s="4" t="s">
        <v>305</v>
      </c>
      <c r="J156" s="29">
        <v>1</v>
      </c>
      <c r="K156" s="4" t="s">
        <v>305</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0</v>
      </c>
      <c r="Z156" s="29">
        <v>1.509824404921226E-7</v>
      </c>
      <c r="AA156" s="29">
        <v>2.717683928858207E-7</v>
      </c>
      <c r="AB156" s="29">
        <v>0</v>
      </c>
    </row>
    <row r="157" spans="1:62" ht="15" customHeight="1" x14ac:dyDescent="0.25">
      <c r="A157" s="342"/>
      <c r="B157" s="12" t="s">
        <v>80</v>
      </c>
      <c r="C157" s="31">
        <f>AC166+C153</f>
        <v>1</v>
      </c>
      <c r="E157" s="4" t="s">
        <v>86</v>
      </c>
      <c r="F157" s="49">
        <f t="shared" ref="F157:F158" si="41">E174/IF(H157=0,1000000000000,H157)+L154</f>
        <v>-4.529548706864665E-8</v>
      </c>
      <c r="G157" s="46" t="s">
        <v>120</v>
      </c>
      <c r="H157" s="29">
        <f>'CS_5 Workpiece'!B30</f>
        <v>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42"/>
      <c r="B158" s="12" t="s">
        <v>81</v>
      </c>
      <c r="C158" s="31">
        <f>AC167+C154</f>
        <v>0</v>
      </c>
      <c r="E158" s="4" t="s">
        <v>87</v>
      </c>
      <c r="F158" s="49">
        <f t="shared" si="41"/>
        <v>-1.5759707014685627E-5</v>
      </c>
      <c r="G158" s="46" t="s">
        <v>116</v>
      </c>
      <c r="H158" s="29">
        <f>'CS_5 Workpiece'!B31</f>
        <v>4000000</v>
      </c>
      <c r="AB158" s="5"/>
      <c r="AU158" s="5" t="s">
        <v>67</v>
      </c>
      <c r="AZ158" s="5" t="s">
        <v>92</v>
      </c>
      <c r="BE158" s="5" t="s">
        <v>97</v>
      </c>
      <c r="BJ158" s="5" t="s">
        <v>97</v>
      </c>
    </row>
    <row r="159" spans="1:62" ht="31.5" x14ac:dyDescent="0.25">
      <c r="A159" s="342"/>
      <c r="B159" s="69" t="s">
        <v>106</v>
      </c>
      <c r="E159" s="324" t="s">
        <v>294</v>
      </c>
      <c r="F159" s="344"/>
      <c r="G159" s="345" t="s">
        <v>293</v>
      </c>
      <c r="H159" s="346"/>
      <c r="I159" s="346"/>
      <c r="J159" s="346"/>
      <c r="K159" s="346"/>
      <c r="L159" s="347"/>
      <c r="M159" s="94" t="s">
        <v>295</v>
      </c>
      <c r="N159" s="85" t="s">
        <v>247</v>
      </c>
      <c r="AE159" t="s">
        <v>226</v>
      </c>
      <c r="AF159" s="92">
        <v>0.01</v>
      </c>
      <c r="AJ159" t="s">
        <v>93</v>
      </c>
      <c r="AK159" s="93">
        <v>0.01</v>
      </c>
      <c r="AL159" s="7"/>
      <c r="AM159" s="7"/>
      <c r="AO159" t="s">
        <v>225</v>
      </c>
      <c r="AP159" s="92">
        <v>0.01</v>
      </c>
      <c r="AU159" s="7" t="s">
        <v>0</v>
      </c>
      <c r="AV159" s="7" t="s">
        <v>1</v>
      </c>
      <c r="AW159" s="7" t="s">
        <v>2</v>
      </c>
      <c r="AZ159" s="7" t="s">
        <v>0</v>
      </c>
      <c r="BA159" s="7" t="s">
        <v>1</v>
      </c>
      <c r="BB159" s="7" t="s">
        <v>2</v>
      </c>
      <c r="BE159" s="7" t="s">
        <v>0</v>
      </c>
      <c r="BF159" s="7" t="s">
        <v>1</v>
      </c>
      <c r="BG159" s="7" t="s">
        <v>2</v>
      </c>
    </row>
    <row r="160" spans="1:62" ht="15" customHeight="1" x14ac:dyDescent="0.25">
      <c r="A160" s="342"/>
      <c r="B160" s="41" t="s">
        <v>100</v>
      </c>
      <c r="C160" s="43">
        <f t="array" ref="C160:C163">MMULT(O132:R135,E136:E139)</f>
        <v>3</v>
      </c>
      <c r="E160" s="46" t="s">
        <v>84</v>
      </c>
      <c r="F160" s="49">
        <f t="array" ref="F160:F165">MMULT(G160:L165,M160:M165)</f>
        <v>1.7904931097838226E-4</v>
      </c>
      <c r="G160" s="132">
        <f>'CS_5 Workpiece'!G5</f>
        <v>5.9683103659460753E-5</v>
      </c>
      <c r="H160" s="132">
        <f>'CS_5 Workpiece'!H5</f>
        <v>0</v>
      </c>
      <c r="I160" s="132">
        <f>'CS_5 Workpiece'!I5</f>
        <v>0</v>
      </c>
      <c r="J160" s="132">
        <f>'CS_5 Workpiece'!J5</f>
        <v>0</v>
      </c>
      <c r="K160" s="132">
        <f>'CS_5 Workpiece'!K5</f>
        <v>0</v>
      </c>
      <c r="L160" s="132">
        <f>'CS_5 Workpiece'!L5</f>
        <v>0</v>
      </c>
      <c r="M160" s="29">
        <f>C160</f>
        <v>3</v>
      </c>
      <c r="O160" s="7" t="s">
        <v>4</v>
      </c>
      <c r="P160" s="26" t="s">
        <v>5</v>
      </c>
      <c r="Q160" s="26" t="s">
        <v>6</v>
      </c>
      <c r="R160" s="26"/>
      <c r="S160" s="26"/>
      <c r="T160" s="26"/>
      <c r="U160" s="26"/>
      <c r="V160" s="26"/>
      <c r="W160" s="26"/>
      <c r="X160" s="26"/>
      <c r="Y160" s="26"/>
      <c r="Z160" s="26"/>
      <c r="AA160" s="26"/>
      <c r="AB160" t="s">
        <v>66</v>
      </c>
      <c r="AC160" s="29">
        <f>C145</f>
        <v>6</v>
      </c>
      <c r="AD160" s="29"/>
      <c r="AE160" s="78">
        <v>1</v>
      </c>
      <c r="AF160" s="49">
        <v>0</v>
      </c>
      <c r="AG160" s="49">
        <v>0</v>
      </c>
      <c r="AH160" s="79">
        <v>0</v>
      </c>
      <c r="AI160" s="80"/>
      <c r="AJ160" s="49">
        <f>COS(AK159)</f>
        <v>0.99995000041666526</v>
      </c>
      <c r="AK160" s="49">
        <v>0</v>
      </c>
      <c r="AL160" s="49">
        <f>-AJ162</f>
        <v>9.9998333341666645E-3</v>
      </c>
      <c r="AM160" s="49">
        <v>0</v>
      </c>
      <c r="AN160" s="80"/>
      <c r="AO160" s="49">
        <f>COS(AP159)</f>
        <v>0.99995000041666526</v>
      </c>
      <c r="AP160" s="49">
        <f>-AO161</f>
        <v>-9.9998333341666645E-3</v>
      </c>
      <c r="AQ160" s="49">
        <v>0</v>
      </c>
      <c r="AR160" s="49">
        <v>0</v>
      </c>
      <c r="AS160" s="80"/>
      <c r="AT160" s="29" t="s">
        <v>63</v>
      </c>
      <c r="AU160" s="49">
        <f t="array" ref="AU160:AU163">MMULT(AE160:AH163,$AC160:$AC163)</f>
        <v>6</v>
      </c>
      <c r="AV160" s="49">
        <f>AU160-$AC160</f>
        <v>0</v>
      </c>
      <c r="AW160" s="49">
        <f>AV160/AF159</f>
        <v>0</v>
      </c>
      <c r="AX160" s="80"/>
      <c r="AY160" s="29" t="s">
        <v>63</v>
      </c>
      <c r="AZ160" s="49">
        <f t="array" ref="AZ160:AZ163">MMULT(AJ160:AM163,$AC160:$AC163)</f>
        <v>5.999700002499992</v>
      </c>
      <c r="BA160" s="49">
        <f>AZ160-$AC160</f>
        <v>-2.9999750000797576E-4</v>
      </c>
      <c r="BB160" s="49">
        <f>BA160/AK159</f>
        <v>-2.9999750000797576E-2</v>
      </c>
      <c r="BC160" s="80"/>
      <c r="BD160" s="29" t="s">
        <v>63</v>
      </c>
      <c r="BE160" s="49">
        <f t="array" ref="BE160:BE163">MMULT(AO160:AR163,$AC160:$AC163)</f>
        <v>5.9897001691658254</v>
      </c>
      <c r="BF160" s="49">
        <f>BE160-$AC160</f>
        <v>-1.0299830834174628E-2</v>
      </c>
      <c r="BG160" s="49">
        <f>BF160/AP159</f>
        <v>-1.0299830834174628</v>
      </c>
    </row>
    <row r="161" spans="1:59" x14ac:dyDescent="0.25">
      <c r="A161" s="342"/>
      <c r="B161" s="41" t="s">
        <v>101</v>
      </c>
      <c r="C161" s="43">
        <v>-10</v>
      </c>
      <c r="E161" s="46" t="s">
        <v>112</v>
      </c>
      <c r="F161" s="49">
        <v>-8.1915059772609891E-3</v>
      </c>
      <c r="G161" s="132">
        <f>'CS_5 Workpiece'!G6</f>
        <v>0</v>
      </c>
      <c r="H161" s="132">
        <f>'CS_5 Workpiece'!H6</f>
        <v>1.7904931097838226E-4</v>
      </c>
      <c r="I161" s="132">
        <f>'CS_5 Workpiece'!I6</f>
        <v>0</v>
      </c>
      <c r="J161" s="132">
        <f>'CS_5 Workpiece'!J6</f>
        <v>0</v>
      </c>
      <c r="K161" s="132">
        <f>'CS_5 Workpiece'!K6</f>
        <v>0</v>
      </c>
      <c r="L161" s="132">
        <f>'CS_5 Workpiece'!L6</f>
        <v>4.4762327744595565E-5</v>
      </c>
      <c r="M161" s="29">
        <f t="shared" ref="M161:M162" si="42">C161</f>
        <v>-10</v>
      </c>
      <c r="N161" s="46" t="s">
        <v>84</v>
      </c>
      <c r="O161" s="31">
        <f>AW160</f>
        <v>0</v>
      </c>
      <c r="P161" s="31">
        <f>BB160</f>
        <v>-2.9999750000797576E-2</v>
      </c>
      <c r="Q161" s="31">
        <f>BG160</f>
        <v>-1.0299830834174628</v>
      </c>
      <c r="AB161" t="s">
        <v>71</v>
      </c>
      <c r="AC161" s="29">
        <f>C146</f>
        <v>1</v>
      </c>
      <c r="AD161" s="29"/>
      <c r="AE161" s="78">
        <v>0</v>
      </c>
      <c r="AF161" s="49">
        <f>COS(AF159)</f>
        <v>0.99995000041666526</v>
      </c>
      <c r="AG161" s="49">
        <f>-SIN(AF159)</f>
        <v>-9.9998333341666645E-3</v>
      </c>
      <c r="AH161" s="79">
        <v>0</v>
      </c>
      <c r="AI161" s="80"/>
      <c r="AJ161" s="49">
        <v>0</v>
      </c>
      <c r="AK161" s="49">
        <v>1</v>
      </c>
      <c r="AL161" s="49">
        <v>0</v>
      </c>
      <c r="AM161" s="49">
        <v>0</v>
      </c>
      <c r="AN161" s="80"/>
      <c r="AO161" s="49">
        <f>SIN(AP159)</f>
        <v>9.9998333341666645E-3</v>
      </c>
      <c r="AP161" s="49">
        <f>AO160</f>
        <v>0.99995000041666526</v>
      </c>
      <c r="AQ161" s="49">
        <v>0</v>
      </c>
      <c r="AR161" s="49">
        <v>0</v>
      </c>
      <c r="AS161" s="80"/>
      <c r="AT161" s="29" t="s">
        <v>64</v>
      </c>
      <c r="AU161" s="49">
        <v>0.99995000041666526</v>
      </c>
      <c r="AV161" s="49">
        <f>AU161-$AC161</f>
        <v>-4.9999583334736641E-5</v>
      </c>
      <c r="AW161" s="49">
        <f>AV161/AF159</f>
        <v>-4.9999583334736641E-3</v>
      </c>
      <c r="AX161" s="80"/>
      <c r="AY161" s="29" t="s">
        <v>64</v>
      </c>
      <c r="AZ161" s="49">
        <v>1</v>
      </c>
      <c r="BA161" s="49">
        <f>AZ161-$AC161</f>
        <v>0</v>
      </c>
      <c r="BB161" s="49">
        <f>BA161/AK159</f>
        <v>0</v>
      </c>
      <c r="BC161" s="80"/>
      <c r="BD161" s="29" t="s">
        <v>64</v>
      </c>
      <c r="BE161" s="49">
        <v>1.0599490004216652</v>
      </c>
      <c r="BF161" s="49">
        <f>BE161-$AC161</f>
        <v>5.9949000421665177E-2</v>
      </c>
      <c r="BG161" s="49">
        <f>BF161/AP159</f>
        <v>5.9949000421665177</v>
      </c>
    </row>
    <row r="162" spans="1:59" x14ac:dyDescent="0.25">
      <c r="A162" s="342"/>
      <c r="B162" s="41" t="s">
        <v>102</v>
      </c>
      <c r="C162" s="43">
        <v>0</v>
      </c>
      <c r="E162" s="46" t="s">
        <v>113</v>
      </c>
      <c r="F162" s="49">
        <v>0</v>
      </c>
      <c r="G162" s="132">
        <f>'CS_5 Workpiece'!G7</f>
        <v>0</v>
      </c>
      <c r="H162" s="132">
        <f>'CS_5 Workpiece'!H7</f>
        <v>0</v>
      </c>
      <c r="I162" s="132">
        <f>'CS_5 Workpiece'!I7</f>
        <v>1.7904931097838226E-4</v>
      </c>
      <c r="J162" s="132">
        <f>'CS_5 Workpiece'!J7</f>
        <v>0</v>
      </c>
      <c r="K162" s="132">
        <f>'CS_5 Workpiece'!K7</f>
        <v>4.4762327744595565E-5</v>
      </c>
      <c r="L162" s="132">
        <f>'CS_5 Workpiece'!L7</f>
        <v>0</v>
      </c>
      <c r="M162" s="29">
        <f t="shared" si="42"/>
        <v>0</v>
      </c>
      <c r="N162" s="46" t="s">
        <v>112</v>
      </c>
      <c r="O162" s="31">
        <f t="shared" ref="O162:O163" si="43">AW161</f>
        <v>-4.9999583334736641E-3</v>
      </c>
      <c r="P162" s="31">
        <f t="shared" ref="P162:P163" si="44">BB161</f>
        <v>0</v>
      </c>
      <c r="Q162" s="31">
        <f t="shared" ref="Q162:Q163" si="45">BG161</f>
        <v>5.9949000421665177</v>
      </c>
      <c r="AB162" t="s">
        <v>72</v>
      </c>
      <c r="AC162" s="29">
        <f>C147</f>
        <v>0</v>
      </c>
      <c r="AD162" s="29"/>
      <c r="AE162" s="78">
        <v>0</v>
      </c>
      <c r="AF162" s="49">
        <f>-AG161</f>
        <v>9.9998333341666645E-3</v>
      </c>
      <c r="AG162" s="49">
        <f>AF161</f>
        <v>0.99995000041666526</v>
      </c>
      <c r="AH162" s="79">
        <v>0</v>
      </c>
      <c r="AI162" s="80"/>
      <c r="AJ162" s="49">
        <f>-SIN(AK159)</f>
        <v>-9.9998333341666645E-3</v>
      </c>
      <c r="AK162" s="49">
        <v>0</v>
      </c>
      <c r="AL162" s="49">
        <f>COS(AK159)</f>
        <v>0.99995000041666526</v>
      </c>
      <c r="AM162" s="49">
        <v>0</v>
      </c>
      <c r="AN162" s="80"/>
      <c r="AO162" s="49">
        <v>0</v>
      </c>
      <c r="AP162" s="49">
        <v>0</v>
      </c>
      <c r="AQ162" s="49">
        <v>1</v>
      </c>
      <c r="AR162" s="49">
        <v>0</v>
      </c>
      <c r="AS162" s="80"/>
      <c r="AT162" s="29" t="s">
        <v>65</v>
      </c>
      <c r="AU162" s="49">
        <v>9.9998333341666645E-3</v>
      </c>
      <c r="AV162" s="49">
        <f>AU162-$AC162</f>
        <v>9.9998333341666645E-3</v>
      </c>
      <c r="AW162" s="49">
        <f>AV162/AF159</f>
        <v>0.99998333341666645</v>
      </c>
      <c r="AX162" s="80"/>
      <c r="AY162" s="29" t="s">
        <v>65</v>
      </c>
      <c r="AZ162" s="49">
        <v>-5.9999000004999983E-2</v>
      </c>
      <c r="BA162" s="49">
        <f>AZ162-$AC162</f>
        <v>-5.9999000004999983E-2</v>
      </c>
      <c r="BB162" s="49">
        <f>BA162/AK159</f>
        <v>-5.9999000004999985</v>
      </c>
      <c r="BC162" s="80"/>
      <c r="BD162" s="29" t="s">
        <v>65</v>
      </c>
      <c r="BE162" s="49">
        <v>0</v>
      </c>
      <c r="BF162" s="49">
        <f>BE162-$AC162</f>
        <v>0</v>
      </c>
      <c r="BG162" s="49">
        <f>BF162/AP159</f>
        <v>0</v>
      </c>
    </row>
    <row r="163" spans="1:59" ht="15" customHeight="1" x14ac:dyDescent="0.25">
      <c r="A163" s="342"/>
      <c r="B163" s="41" t="s">
        <v>108</v>
      </c>
      <c r="C163" s="43">
        <v>1</v>
      </c>
      <c r="E163" s="4" t="s">
        <v>85</v>
      </c>
      <c r="F163" s="49">
        <v>0</v>
      </c>
      <c r="G163" s="132">
        <f>'CS_5 Workpiece'!G8</f>
        <v>0</v>
      </c>
      <c r="H163" s="132">
        <f>'CS_5 Workpiece'!H8</f>
        <v>0</v>
      </c>
      <c r="I163" s="132">
        <f>'CS_5 Workpiece'!I8</f>
        <v>0</v>
      </c>
      <c r="J163" s="132">
        <f>'CS_5 Workpiece'!J8</f>
        <v>1.9397008689324746E-5</v>
      </c>
      <c r="K163" s="132">
        <f>'CS_5 Workpiece'!K8</f>
        <v>0</v>
      </c>
      <c r="L163" s="132">
        <f>'CS_5 Workpiece'!L8</f>
        <v>0</v>
      </c>
      <c r="M163" s="29">
        <f>C164</f>
        <v>0</v>
      </c>
      <c r="N163" s="46" t="s">
        <v>113</v>
      </c>
      <c r="O163" s="31">
        <f t="shared" si="43"/>
        <v>0.99998333341666645</v>
      </c>
      <c r="P163" s="31">
        <f t="shared" si="44"/>
        <v>-5.9999000004999985</v>
      </c>
      <c r="Q163" s="31">
        <f t="shared" si="45"/>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42"/>
      <c r="B164" s="41" t="s">
        <v>103</v>
      </c>
      <c r="C164" s="43">
        <f t="array" ref="C164:C167">MMULT(O132:R135,E140:E143)</f>
        <v>0</v>
      </c>
      <c r="E164" s="4" t="s">
        <v>86</v>
      </c>
      <c r="F164" s="49">
        <v>0</v>
      </c>
      <c r="G164" s="132">
        <f>'CS_5 Workpiece'!G9</f>
        <v>0</v>
      </c>
      <c r="H164" s="132">
        <f>'CS_5 Workpiece'!H9</f>
        <v>0</v>
      </c>
      <c r="I164" s="132">
        <f>'CS_5 Workpiece'!I9</f>
        <v>4.4762327744595565E-5</v>
      </c>
      <c r="J164" s="132">
        <f>'CS_5 Workpiece'!J9</f>
        <v>0</v>
      </c>
      <c r="K164" s="132">
        <f>'CS_5 Workpiece'!K9</f>
        <v>1.492077591486519E-5</v>
      </c>
      <c r="L164" s="132">
        <f>'CS_5 Workpiece'!L9</f>
        <v>0</v>
      </c>
      <c r="M164" s="29">
        <f>C165</f>
        <v>0</v>
      </c>
      <c r="O164" s="3" t="s">
        <v>82</v>
      </c>
      <c r="T164" s="3" t="s">
        <v>83</v>
      </c>
      <c r="AE164" t="s">
        <v>95</v>
      </c>
      <c r="AJ164" t="s">
        <v>94</v>
      </c>
      <c r="AO164" t="s">
        <v>96</v>
      </c>
    </row>
    <row r="165" spans="1:59" ht="15" customHeight="1" x14ac:dyDescent="0.25">
      <c r="A165" s="342"/>
      <c r="B165" s="41" t="s">
        <v>104</v>
      </c>
      <c r="C165" s="43">
        <v>0</v>
      </c>
      <c r="E165" s="4" t="s">
        <v>87</v>
      </c>
      <c r="F165" s="49">
        <v>-2.5812942332716781E-3</v>
      </c>
      <c r="G165" s="132">
        <f>'CS_5 Workpiece'!G10</f>
        <v>0</v>
      </c>
      <c r="H165" s="132">
        <f>'CS_5 Workpiece'!H10</f>
        <v>4.4762327744595565E-5</v>
      </c>
      <c r="I165" s="132">
        <f>'CS_5 Workpiece'!I10</f>
        <v>0</v>
      </c>
      <c r="J165" s="132">
        <f>'CS_5 Workpiece'!J10</f>
        <v>0</v>
      </c>
      <c r="K165" s="132">
        <f>'CS_5 Workpiece'!K10</f>
        <v>0</v>
      </c>
      <c r="L165" s="132">
        <f>'CS_5 Workpiece'!L10</f>
        <v>1.492077591486519E-5</v>
      </c>
      <c r="M165" s="29">
        <f>C166</f>
        <v>-143</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6</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42"/>
      <c r="B166" s="41" t="s">
        <v>105</v>
      </c>
      <c r="C166" s="43">
        <v>-143</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1</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42"/>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42"/>
      <c r="B168" s="77" t="s">
        <v>182</v>
      </c>
      <c r="C168"/>
      <c r="D168" s="90" t="s">
        <v>245</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42"/>
      <c r="B169" s="41" t="s">
        <v>100</v>
      </c>
      <c r="C169" s="42">
        <v>0</v>
      </c>
      <c r="D169" s="41" t="s">
        <v>100</v>
      </c>
      <c r="E169" s="43">
        <f>C160+C169</f>
        <v>3</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42"/>
      <c r="B170" s="41" t="s">
        <v>101</v>
      </c>
      <c r="C170" s="42">
        <v>0</v>
      </c>
      <c r="D170" s="41" t="s">
        <v>101</v>
      </c>
      <c r="E170" s="43">
        <f>C161+C170</f>
        <v>-10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42"/>
      <c r="B171" s="41" t="s">
        <v>102</v>
      </c>
      <c r="C171" s="42">
        <v>0</v>
      </c>
      <c r="D171" s="41" t="s">
        <v>102</v>
      </c>
      <c r="E171" s="43">
        <f>C162+C171</f>
        <v>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42"/>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42"/>
      <c r="B173" s="41" t="s">
        <v>103</v>
      </c>
      <c r="C173" s="42">
        <v>0</v>
      </c>
      <c r="D173" s="41" t="s">
        <v>103</v>
      </c>
      <c r="E173" s="43">
        <f>C164+C173+C162*C120-C161*C121</f>
        <v>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42"/>
      <c r="B174" s="41" t="s">
        <v>104</v>
      </c>
      <c r="C174" s="42">
        <v>0</v>
      </c>
      <c r="D174" s="41" t="s">
        <v>104</v>
      </c>
      <c r="E174" s="43">
        <f>C165+C174+C160*C121-C162*C119</f>
        <v>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42"/>
      <c r="B175" s="41" t="s">
        <v>105</v>
      </c>
      <c r="C175" s="42">
        <v>0</v>
      </c>
      <c r="D175" s="41" t="s">
        <v>105</v>
      </c>
      <c r="E175" s="43">
        <f>C166+C175+C161*C119-C160*C120</f>
        <v>-63</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43"/>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38" t="s">
        <v>325</v>
      </c>
      <c r="B177" s="68" t="s">
        <v>249</v>
      </c>
      <c r="E177" s="1" t="s">
        <v>145</v>
      </c>
    </row>
    <row r="178" spans="1:62" ht="15" customHeight="1" x14ac:dyDescent="0.25">
      <c r="A178" s="338"/>
      <c r="B178" s="12" t="s">
        <v>73</v>
      </c>
      <c r="C178" s="56">
        <f>C156</f>
        <v>0</v>
      </c>
      <c r="E178" s="324" t="s">
        <v>138</v>
      </c>
      <c r="F178" s="324"/>
      <c r="G178" s="324" t="s">
        <v>139</v>
      </c>
      <c r="H178" s="324"/>
      <c r="N178" s="34" t="s">
        <v>98</v>
      </c>
      <c r="O178" s="1"/>
      <c r="P178" s="67"/>
      <c r="Q178" s="1"/>
      <c r="R178" s="1"/>
      <c r="S178" s="34" t="s">
        <v>136</v>
      </c>
      <c r="Y178" s="95" t="s">
        <v>297</v>
      </c>
    </row>
    <row r="179" spans="1:62" ht="15" customHeight="1" x14ac:dyDescent="0.25">
      <c r="A179" s="338"/>
      <c r="B179" s="12" t="s">
        <v>74</v>
      </c>
      <c r="C179" s="56">
        <f>C157</f>
        <v>1</v>
      </c>
      <c r="E179" s="46" t="s">
        <v>84</v>
      </c>
      <c r="F179" s="48">
        <f>CS_6!B45</f>
        <v>5.0000000000000001E-3</v>
      </c>
      <c r="G179" s="46" t="s">
        <v>84</v>
      </c>
      <c r="H179" s="48">
        <f>CS_6!B52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38"/>
      <c r="B180" s="12" t="s">
        <v>75</v>
      </c>
      <c r="C180" s="56">
        <f>C158</f>
        <v>0</v>
      </c>
      <c r="E180" s="46" t="s">
        <v>112</v>
      </c>
      <c r="F180" s="48">
        <f>CS_6!B46</f>
        <v>5.0000000000000001E-3</v>
      </c>
      <c r="G180" s="46" t="s">
        <v>112</v>
      </c>
      <c r="H180" s="48">
        <f>CS_6!B53</f>
        <v>0</v>
      </c>
      <c r="N180" s="46" t="s">
        <v>84</v>
      </c>
      <c r="O180" s="50">
        <f>ABS(F179)</f>
        <v>5.0000000000000001E-3</v>
      </c>
      <c r="P180" s="50">
        <f>ABS(F182*O194)</f>
        <v>0</v>
      </c>
      <c r="Q180" s="50">
        <f>ABS(F183*P194)</f>
        <v>0</v>
      </c>
      <c r="R180" s="50">
        <f>ABS(F184*Q194)</f>
        <v>9.9998333341666716E-5</v>
      </c>
      <c r="S180" s="46" t="s">
        <v>84</v>
      </c>
      <c r="T180" s="49">
        <f t="array" ref="T180:W183">ABS(MMULT(T198:W201,O180:R183))</f>
        <v>5.0000000000000001E-3</v>
      </c>
      <c r="U180" s="49">
        <v>0</v>
      </c>
      <c r="V180" s="49">
        <v>0</v>
      </c>
      <c r="W180" s="49">
        <v>9.9998333341666716E-5</v>
      </c>
      <c r="X180" s="70" t="s">
        <v>84</v>
      </c>
      <c r="Y180" s="49">
        <f>F186+F193</f>
        <v>2.5032101201769773E-4</v>
      </c>
      <c r="Z180" s="29">
        <f>F189*O194</f>
        <v>0</v>
      </c>
      <c r="AA180" s="29">
        <f>F190*P194</f>
        <v>0</v>
      </c>
      <c r="AB180" s="29">
        <f>F191*Q194</f>
        <v>2.9439790213306319E-9</v>
      </c>
    </row>
    <row r="181" spans="1:62" ht="15" customHeight="1" x14ac:dyDescent="0.25">
      <c r="A181" s="60">
        <v>6</v>
      </c>
      <c r="B181" s="1" t="s">
        <v>76</v>
      </c>
      <c r="E181" s="46" t="s">
        <v>113</v>
      </c>
      <c r="F181" s="48">
        <f>CS_6!B47</f>
        <v>5.0000000000000001E-3</v>
      </c>
      <c r="G181" s="46" t="s">
        <v>113</v>
      </c>
      <c r="H181" s="48">
        <f>CS_6!B54</f>
        <v>0</v>
      </c>
      <c r="N181" s="46" t="s">
        <v>112</v>
      </c>
      <c r="O181" s="50">
        <f t="shared" ref="O181:O182" si="46">ABS(F180)</f>
        <v>5.0000000000000001E-3</v>
      </c>
      <c r="P181" s="50">
        <f>ABS(F182*O195)</f>
        <v>4.9999583334736673E-7</v>
      </c>
      <c r="Q181" s="50">
        <f>ABS(F183*P195)</f>
        <v>0</v>
      </c>
      <c r="R181" s="50">
        <f>ABS(F184*Q195)</f>
        <v>4.9999583334736673E-7</v>
      </c>
      <c r="S181" s="46" t="s">
        <v>112</v>
      </c>
      <c r="T181" s="49">
        <v>5.0000000000000001E-3</v>
      </c>
      <c r="U181" s="49">
        <v>4.9999583334736673E-7</v>
      </c>
      <c r="V181" s="49">
        <v>0</v>
      </c>
      <c r="W181" s="49">
        <v>4.9999583334736673E-7</v>
      </c>
      <c r="X181" s="70" t="s">
        <v>112</v>
      </c>
      <c r="Y181" s="49">
        <f t="shared" ref="Y181:Y182" si="47">F187+F194</f>
        <v>-7.432363418646769E-5</v>
      </c>
      <c r="Z181" s="29">
        <f>F189*O195</f>
        <v>0</v>
      </c>
      <c r="AA181" s="29">
        <f>F190*P195</f>
        <v>0</v>
      </c>
      <c r="AB181" s="29">
        <f>F191*Q195</f>
        <v>1.4720017773676631E-11</v>
      </c>
    </row>
    <row r="182" spans="1:62" ht="15" customHeight="1" x14ac:dyDescent="0.25">
      <c r="A182" s="43">
        <f>IF(A181&gt;Naxes,0,1)</f>
        <v>0</v>
      </c>
      <c r="B182" s="2" t="s">
        <v>176</v>
      </c>
      <c r="C182" s="37">
        <v>0</v>
      </c>
      <c r="E182" s="4" t="s">
        <v>85</v>
      </c>
      <c r="F182" s="48">
        <f>CS_6!B48</f>
        <v>1.0000000000000007E-4</v>
      </c>
      <c r="G182" s="4" t="s">
        <v>85</v>
      </c>
      <c r="H182" s="48">
        <f>CS_6!B55</f>
        <v>0</v>
      </c>
      <c r="N182" s="46" t="s">
        <v>113</v>
      </c>
      <c r="O182" s="50">
        <f t="shared" si="46"/>
        <v>5.0000000000000001E-3</v>
      </c>
      <c r="P182" s="50">
        <f>ABS(F182*O196)</f>
        <v>9.9998333341666716E-5</v>
      </c>
      <c r="Q182" s="50">
        <f>ABS(F183*P196)</f>
        <v>0</v>
      </c>
      <c r="R182" s="50">
        <f>ABS(F184*Q196)</f>
        <v>0</v>
      </c>
      <c r="S182" s="46" t="s">
        <v>113</v>
      </c>
      <c r="T182" s="49">
        <v>5.0000000000000001E-3</v>
      </c>
      <c r="U182" s="49">
        <v>9.9998333341666716E-5</v>
      </c>
      <c r="V182" s="49">
        <v>0</v>
      </c>
      <c r="W182" s="49">
        <v>0</v>
      </c>
      <c r="X182" s="70" t="s">
        <v>113</v>
      </c>
      <c r="Y182" s="49">
        <f t="shared" si="47"/>
        <v>0</v>
      </c>
      <c r="Z182" s="29">
        <f>F189*O196</f>
        <v>0</v>
      </c>
      <c r="AA182" s="29">
        <f>F190*P196</f>
        <v>0</v>
      </c>
      <c r="AB182" s="29">
        <f>F191*Q196</f>
        <v>0</v>
      </c>
    </row>
    <row r="183" spans="1:62" ht="15" customHeight="1" x14ac:dyDescent="0.25">
      <c r="A183" s="336" t="s">
        <v>127</v>
      </c>
      <c r="B183" s="2" t="s">
        <v>178</v>
      </c>
      <c r="C183" s="37">
        <v>0</v>
      </c>
      <c r="E183" s="4" t="s">
        <v>86</v>
      </c>
      <c r="F183" s="48">
        <f>CS_6!B49</f>
        <v>9.9999999000000077E-5</v>
      </c>
      <c r="G183" s="4" t="s">
        <v>86</v>
      </c>
      <c r="H183" s="48">
        <f>CS_6!B56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36"/>
      <c r="B184" s="2" t="s">
        <v>177</v>
      </c>
      <c r="C184" s="37">
        <v>0</v>
      </c>
      <c r="E184" s="4" t="s">
        <v>87</v>
      </c>
      <c r="F184" s="48">
        <f>CS_6!B50</f>
        <v>1.0000000000000007E-4</v>
      </c>
      <c r="G184" s="4" t="s">
        <v>87</v>
      </c>
      <c r="H184" s="48">
        <f>CS_6!B57</f>
        <v>0</v>
      </c>
      <c r="X184" s="6"/>
    </row>
    <row r="185" spans="1:62" ht="30" customHeight="1" x14ac:dyDescent="0.25">
      <c r="A185" s="336"/>
      <c r="B185" s="2" t="s">
        <v>244</v>
      </c>
      <c r="C185" s="37">
        <f>-(C13+C20+C53+C86+C119+C152)</f>
        <v>0</v>
      </c>
      <c r="E185" s="337" t="s">
        <v>303</v>
      </c>
      <c r="F185" s="337"/>
      <c r="G185" s="324" t="s">
        <v>250</v>
      </c>
      <c r="H185" s="324"/>
      <c r="I185" s="337" t="s">
        <v>306</v>
      </c>
      <c r="J185" s="337"/>
      <c r="K185" s="337" t="s">
        <v>304</v>
      </c>
      <c r="L185" s="337"/>
      <c r="N185" s="34" t="s">
        <v>99</v>
      </c>
      <c r="O185" s="1"/>
      <c r="P185" s="67"/>
      <c r="Q185" s="1"/>
      <c r="R185" s="1"/>
      <c r="S185" s="34" t="s">
        <v>137</v>
      </c>
      <c r="X185" s="6"/>
      <c r="Y185" s="95" t="s">
        <v>296</v>
      </c>
    </row>
    <row r="186" spans="1:62" ht="15" customHeight="1" x14ac:dyDescent="0.25">
      <c r="A186" s="336"/>
      <c r="B186" s="2" t="s">
        <v>77</v>
      </c>
      <c r="C186" s="37">
        <f t="shared" ref="C186:C187" si="48">-(C14+C21+C54+C87+C120+C153)</f>
        <v>-1</v>
      </c>
      <c r="E186" s="46" t="s">
        <v>84</v>
      </c>
      <c r="F186" s="49">
        <f>E202/IF(H186=0,1000000000000,H186)</f>
        <v>2.2918311805232927E-4</v>
      </c>
      <c r="G186" s="4" t="s">
        <v>117</v>
      </c>
      <c r="H186" s="29">
        <f>CS_6!B25</f>
        <v>13089.969389957472</v>
      </c>
      <c r="I186" s="4" t="s">
        <v>85</v>
      </c>
      <c r="J186" s="49">
        <f>F229</f>
        <v>0</v>
      </c>
      <c r="K186" s="4" t="s">
        <v>85</v>
      </c>
      <c r="L186" s="139">
        <f t="array" ref="L186:L189">MMULT(MINVERSE(O198:R201),J186:J189)</f>
        <v>0</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41" t="s">
        <v>360</v>
      </c>
      <c r="B187" s="2" t="s">
        <v>107</v>
      </c>
      <c r="C187" s="37">
        <f t="shared" si="48"/>
        <v>0</v>
      </c>
      <c r="E187" s="46" t="s">
        <v>112</v>
      </c>
      <c r="F187" s="49">
        <f t="shared" ref="F187:F188" si="49">E203/IF(H187=0,1000000000000,H187)</f>
        <v>-3.8639876352395671E-6</v>
      </c>
      <c r="G187" s="4" t="s">
        <v>118</v>
      </c>
      <c r="H187" s="29">
        <f>CS_6!B26</f>
        <v>2588000</v>
      </c>
      <c r="I187" s="4" t="s">
        <v>86</v>
      </c>
      <c r="J187" s="49">
        <f t="shared" ref="J187:J188" si="50">F230</f>
        <v>0</v>
      </c>
      <c r="K187" s="4" t="s">
        <v>86</v>
      </c>
      <c r="L187" s="139">
        <v>0</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2.5032101201769773E-4</v>
      </c>
      <c r="Z187" s="29">
        <f t="array" ref="Z187:Z190">MMULT(T198:W201,Z180:Z183)</f>
        <v>0</v>
      </c>
      <c r="AA187" s="29">
        <f t="array" ref="AA187:AA190">MMULT(T198:W201,AA180:AA183)</f>
        <v>0</v>
      </c>
      <c r="AB187" s="29">
        <f t="array" ref="AB187:AB190">MMULT(T198:W201,AB180:AB183)</f>
        <v>2.9439790213306319E-9</v>
      </c>
    </row>
    <row r="188" spans="1:62" ht="15" customHeight="1" x14ac:dyDescent="0.25">
      <c r="A188" s="342"/>
      <c r="B188" s="34" t="s">
        <v>78</v>
      </c>
      <c r="E188" s="46" t="s">
        <v>113</v>
      </c>
      <c r="F188" s="49">
        <f t="shared" si="49"/>
        <v>0</v>
      </c>
      <c r="G188" s="4" t="s">
        <v>119</v>
      </c>
      <c r="H188" s="29">
        <f>CS_6!B27</f>
        <v>2588000</v>
      </c>
      <c r="I188" s="4" t="s">
        <v>87</v>
      </c>
      <c r="J188" s="49">
        <f t="shared" si="50"/>
        <v>-2.4898123988531638E-9</v>
      </c>
      <c r="K188" s="4" t="s">
        <v>87</v>
      </c>
      <c r="L188" s="139">
        <v>-2.4898123988531638E-9</v>
      </c>
      <c r="N188" s="46" t="s">
        <v>112</v>
      </c>
      <c r="O188" s="50">
        <f>H180</f>
        <v>0</v>
      </c>
      <c r="P188" s="50">
        <f>H182*O195</f>
        <v>0</v>
      </c>
      <c r="Q188" s="50">
        <f>H183*P195</f>
        <v>0</v>
      </c>
      <c r="R188" s="50">
        <f>H184*Q195</f>
        <v>0</v>
      </c>
      <c r="S188" s="46" t="s">
        <v>112</v>
      </c>
      <c r="T188" s="50">
        <v>0</v>
      </c>
      <c r="U188" s="50">
        <v>0</v>
      </c>
      <c r="V188" s="50">
        <v>0</v>
      </c>
      <c r="W188" s="50">
        <v>0</v>
      </c>
      <c r="X188" s="70" t="s">
        <v>112</v>
      </c>
      <c r="Y188" s="29">
        <v>-7.432363418646769E-5</v>
      </c>
      <c r="Z188" s="29">
        <v>0</v>
      </c>
      <c r="AA188" s="29">
        <v>0</v>
      </c>
      <c r="AB188" s="29">
        <v>1.4720017773676631E-11</v>
      </c>
    </row>
    <row r="189" spans="1:62" ht="15" customHeight="1" x14ac:dyDescent="0.25">
      <c r="A189" s="342"/>
      <c r="B189" s="12" t="s">
        <v>79</v>
      </c>
      <c r="C189" s="31">
        <f>AC198+C185</f>
        <v>0</v>
      </c>
      <c r="E189" s="4" t="s">
        <v>85</v>
      </c>
      <c r="F189" s="49">
        <f>E206/IF(H189=0,1000000000000,H189)+L186</f>
        <v>0</v>
      </c>
      <c r="G189" s="46" t="s">
        <v>8</v>
      </c>
      <c r="H189" s="29">
        <f>CS_6!B29</f>
        <v>6874375000</v>
      </c>
      <c r="I189" s="4" t="s">
        <v>305</v>
      </c>
      <c r="J189" s="29">
        <v>1</v>
      </c>
      <c r="K189" s="4" t="s">
        <v>305</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0</v>
      </c>
      <c r="Z189" s="29">
        <v>0</v>
      </c>
      <c r="AA189" s="29">
        <v>0</v>
      </c>
      <c r="AB189" s="29">
        <v>0</v>
      </c>
    </row>
    <row r="190" spans="1:62" ht="15" customHeight="1" x14ac:dyDescent="0.25">
      <c r="A190" s="342"/>
      <c r="B190" s="12" t="s">
        <v>80</v>
      </c>
      <c r="C190" s="31">
        <f>AC199+C186</f>
        <v>0</v>
      </c>
      <c r="E190" s="4" t="s">
        <v>86</v>
      </c>
      <c r="F190" s="49">
        <f t="shared" ref="F190:F191" si="51">E207/IF(H190=0,1000000000000,H190)+L187</f>
        <v>0</v>
      </c>
      <c r="G190" s="46" t="s">
        <v>120</v>
      </c>
      <c r="H190" s="29">
        <f>CS_6!B30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42"/>
      <c r="B191" s="12" t="s">
        <v>81</v>
      </c>
      <c r="C191" s="31">
        <f>AC200+C187</f>
        <v>0</v>
      </c>
      <c r="E191" s="4" t="s">
        <v>87</v>
      </c>
      <c r="F191" s="49">
        <f t="shared" si="51"/>
        <v>-2.9440280882201007E-9</v>
      </c>
      <c r="G191" s="46" t="s">
        <v>116</v>
      </c>
      <c r="H191" s="29">
        <f>CS_6!B31</f>
        <v>6604791666.666667</v>
      </c>
      <c r="AB191" s="5"/>
      <c r="AU191" s="5" t="s">
        <v>67</v>
      </c>
      <c r="AZ191" s="5" t="s">
        <v>92</v>
      </c>
      <c r="BE191" s="5" t="s">
        <v>97</v>
      </c>
      <c r="BJ191" s="5" t="s">
        <v>97</v>
      </c>
    </row>
    <row r="192" spans="1:62" ht="31.5" x14ac:dyDescent="0.25">
      <c r="A192" s="342"/>
      <c r="B192" s="69" t="s">
        <v>106</v>
      </c>
      <c r="E192" s="324" t="s">
        <v>294</v>
      </c>
      <c r="F192" s="344"/>
      <c r="G192" s="345" t="s">
        <v>293</v>
      </c>
      <c r="H192" s="346"/>
      <c r="I192" s="346"/>
      <c r="J192" s="346"/>
      <c r="K192" s="346"/>
      <c r="L192" s="347"/>
      <c r="M192" s="94" t="s">
        <v>295</v>
      </c>
      <c r="N192" s="85" t="s">
        <v>247</v>
      </c>
      <c r="AE192" t="s">
        <v>226</v>
      </c>
      <c r="AF192" s="92">
        <v>0.01</v>
      </c>
      <c r="AJ192" t="s">
        <v>93</v>
      </c>
      <c r="AK192" s="93">
        <v>0.01</v>
      </c>
      <c r="AL192" s="7"/>
      <c r="AM192" s="7"/>
      <c r="AO192" t="s">
        <v>225</v>
      </c>
      <c r="AP192" s="92">
        <v>0.01</v>
      </c>
      <c r="AU192" s="7" t="s">
        <v>0</v>
      </c>
      <c r="AV192" s="7" t="s">
        <v>1</v>
      </c>
      <c r="AW192" s="7" t="s">
        <v>2</v>
      </c>
      <c r="AZ192" s="7" t="s">
        <v>0</v>
      </c>
      <c r="BA192" s="7" t="s">
        <v>1</v>
      </c>
      <c r="BB192" s="7" t="s">
        <v>2</v>
      </c>
      <c r="BE192" s="7" t="s">
        <v>0</v>
      </c>
      <c r="BF192" s="7" t="s">
        <v>1</v>
      </c>
      <c r="BG192" s="7" t="s">
        <v>2</v>
      </c>
    </row>
    <row r="193" spans="1:59" ht="15" customHeight="1" x14ac:dyDescent="0.25">
      <c r="A193" s="342"/>
      <c r="B193" s="41" t="s">
        <v>100</v>
      </c>
      <c r="C193" s="43">
        <f t="array" ref="C193:C196">MMULT(O165:R168,E169:E172)</f>
        <v>3</v>
      </c>
      <c r="E193" s="46" t="s">
        <v>84</v>
      </c>
      <c r="F193" s="49">
        <f t="array" ref="F193:F198">MMULT(G193:L198,M193:M198)</f>
        <v>2.1137893965368434E-5</v>
      </c>
      <c r="G193" s="132">
        <f>CS_6!G5</f>
        <v>7.0459646551228115E-6</v>
      </c>
      <c r="H193" s="132">
        <f>CS_6!H5</f>
        <v>0</v>
      </c>
      <c r="I193" s="132">
        <f>CS_6!I5</f>
        <v>0</v>
      </c>
      <c r="J193" s="132">
        <f>CS_6!J5</f>
        <v>0</v>
      </c>
      <c r="K193" s="132">
        <f>CS_6!K5</f>
        <v>-1.5098495689548882E-8</v>
      </c>
      <c r="L193" s="132">
        <f>CS_6!L5</f>
        <v>0</v>
      </c>
      <c r="M193" s="29">
        <f>C193</f>
        <v>3</v>
      </c>
      <c r="O193" s="7" t="s">
        <v>4</v>
      </c>
      <c r="P193" s="26" t="s">
        <v>5</v>
      </c>
      <c r="Q193" s="26" t="s">
        <v>6</v>
      </c>
      <c r="R193" s="26"/>
      <c r="S193" s="26"/>
      <c r="T193" s="26"/>
      <c r="U193" s="26"/>
      <c r="V193" s="26"/>
      <c r="W193" s="26"/>
      <c r="X193" s="26"/>
      <c r="Y193" s="26"/>
      <c r="Z193" s="26"/>
      <c r="AA193" s="26"/>
      <c r="AB193" t="s">
        <v>66</v>
      </c>
      <c r="AC193" s="29">
        <f>C178</f>
        <v>0</v>
      </c>
      <c r="AD193" s="29"/>
      <c r="AE193" s="78">
        <v>1</v>
      </c>
      <c r="AF193" s="49">
        <v>0</v>
      </c>
      <c r="AG193" s="49">
        <v>0</v>
      </c>
      <c r="AH193" s="79">
        <v>0</v>
      </c>
      <c r="AI193" s="80"/>
      <c r="AJ193" s="49">
        <f>COS(AK192)</f>
        <v>0.99995000041666526</v>
      </c>
      <c r="AK193" s="49">
        <v>0</v>
      </c>
      <c r="AL193" s="49">
        <f>-AJ195</f>
        <v>9.9998333341666645E-3</v>
      </c>
      <c r="AM193" s="49">
        <v>0</v>
      </c>
      <c r="AN193" s="80"/>
      <c r="AO193" s="49">
        <f>COS(AP192)</f>
        <v>0.99995000041666526</v>
      </c>
      <c r="AP193" s="49">
        <f>-AO194</f>
        <v>-9.9998333341666645E-3</v>
      </c>
      <c r="AQ193" s="49">
        <v>0</v>
      </c>
      <c r="AR193" s="49">
        <v>0</v>
      </c>
      <c r="AS193" s="80"/>
      <c r="AT193" s="29" t="s">
        <v>63</v>
      </c>
      <c r="AU193" s="49">
        <f t="array" ref="AU193:AU196">MMULT(AE193:AH196,$AC193:$AC196)</f>
        <v>0</v>
      </c>
      <c r="AV193" s="49">
        <f>AU193-$AC193</f>
        <v>0</v>
      </c>
      <c r="AW193" s="49">
        <f>AV193/AF192</f>
        <v>0</v>
      </c>
      <c r="AX193" s="80"/>
      <c r="AY193" s="29" t="s">
        <v>63</v>
      </c>
      <c r="AZ193" s="49">
        <f t="array" ref="AZ193:AZ196">MMULT(AJ193:AM196,$AC193:$AC196)</f>
        <v>0</v>
      </c>
      <c r="BA193" s="49">
        <f>AZ193-$AC193</f>
        <v>0</v>
      </c>
      <c r="BB193" s="49">
        <f>BA193/AK192</f>
        <v>0</v>
      </c>
      <c r="BC193" s="80"/>
      <c r="BD193" s="29" t="s">
        <v>63</v>
      </c>
      <c r="BE193" s="49">
        <f t="array" ref="BE193:BE196">MMULT(AO193:AR196,$AC193:$AC196)</f>
        <v>-9.9998333341666645E-3</v>
      </c>
      <c r="BF193" s="49">
        <f>BE193-$AC193</f>
        <v>-9.9998333341666645E-3</v>
      </c>
      <c r="BG193" s="49">
        <f>BF193/AP192</f>
        <v>-0.99998333341666645</v>
      </c>
    </row>
    <row r="194" spans="1:59" x14ac:dyDescent="0.25">
      <c r="A194" s="342"/>
      <c r="B194" s="41" t="s">
        <v>101</v>
      </c>
      <c r="C194" s="43">
        <v>-10</v>
      </c>
      <c r="E194" s="46" t="s">
        <v>112</v>
      </c>
      <c r="F194" s="49">
        <v>-7.0459646551228122E-5</v>
      </c>
      <c r="G194" s="132">
        <f>CS_6!G6</f>
        <v>0</v>
      </c>
      <c r="H194" s="132">
        <f>CS_6!H6</f>
        <v>7.0459646551228115E-6</v>
      </c>
      <c r="I194" s="132">
        <f>CS_6!I6</f>
        <v>0</v>
      </c>
      <c r="J194" s="132">
        <f>CS_6!J6</f>
        <v>-1.5098495689548882E-8</v>
      </c>
      <c r="K194" s="132">
        <f>CS_6!K6</f>
        <v>0</v>
      </c>
      <c r="L194" s="132">
        <f>CS_6!L6</f>
        <v>0</v>
      </c>
      <c r="M194" s="29">
        <f t="shared" ref="M194:M195" si="52">C194</f>
        <v>-10</v>
      </c>
      <c r="N194" s="46" t="s">
        <v>84</v>
      </c>
      <c r="O194" s="31">
        <f>AW193</f>
        <v>0</v>
      </c>
      <c r="P194" s="31">
        <f>BB193</f>
        <v>0</v>
      </c>
      <c r="Q194" s="31">
        <f>BG193</f>
        <v>-0.99998333341666645</v>
      </c>
      <c r="AB194" t="s">
        <v>71</v>
      </c>
      <c r="AC194" s="29">
        <f>C179</f>
        <v>1</v>
      </c>
      <c r="AD194" s="29"/>
      <c r="AE194" s="78">
        <v>0</v>
      </c>
      <c r="AF194" s="49">
        <f>COS(AF192)</f>
        <v>0.99995000041666526</v>
      </c>
      <c r="AG194" s="49">
        <f>-SIN(AF192)</f>
        <v>-9.9998333341666645E-3</v>
      </c>
      <c r="AH194" s="79">
        <v>0</v>
      </c>
      <c r="AI194" s="80"/>
      <c r="AJ194" s="49">
        <v>0</v>
      </c>
      <c r="AK194" s="49">
        <v>1</v>
      </c>
      <c r="AL194" s="49">
        <v>0</v>
      </c>
      <c r="AM194" s="49">
        <v>0</v>
      </c>
      <c r="AN194" s="80"/>
      <c r="AO194" s="49">
        <f>SIN(AP192)</f>
        <v>9.9998333341666645E-3</v>
      </c>
      <c r="AP194" s="49">
        <f>AO193</f>
        <v>0.99995000041666526</v>
      </c>
      <c r="AQ194" s="49">
        <v>0</v>
      </c>
      <c r="AR194" s="49">
        <v>0</v>
      </c>
      <c r="AS194" s="80"/>
      <c r="AT194" s="29" t="s">
        <v>64</v>
      </c>
      <c r="AU194" s="49">
        <v>0.99995000041666526</v>
      </c>
      <c r="AV194" s="49">
        <f>AU194-$AC194</f>
        <v>-4.9999583334736641E-5</v>
      </c>
      <c r="AW194" s="49">
        <f>AV194/AF192</f>
        <v>-4.9999583334736641E-3</v>
      </c>
      <c r="AX194" s="80"/>
      <c r="AY194" s="29" t="s">
        <v>64</v>
      </c>
      <c r="AZ194" s="49">
        <v>1</v>
      </c>
      <c r="BA194" s="49">
        <f>AZ194-$AC194</f>
        <v>0</v>
      </c>
      <c r="BB194" s="49">
        <f>BA194/AK192</f>
        <v>0</v>
      </c>
      <c r="BC194" s="80"/>
      <c r="BD194" s="29" t="s">
        <v>64</v>
      </c>
      <c r="BE194" s="49">
        <v>0.99995000041666526</v>
      </c>
      <c r="BF194" s="49">
        <f>BE194-$AC194</f>
        <v>-4.9999583334736641E-5</v>
      </c>
      <c r="BG194" s="49">
        <f>BF194/AP192</f>
        <v>-4.9999583334736641E-3</v>
      </c>
    </row>
    <row r="195" spans="1:59" x14ac:dyDescent="0.25">
      <c r="A195" s="342"/>
      <c r="B195" s="41" t="s">
        <v>102</v>
      </c>
      <c r="C195" s="43">
        <v>0</v>
      </c>
      <c r="E195" s="46" t="s">
        <v>113</v>
      </c>
      <c r="F195" s="49">
        <v>0</v>
      </c>
      <c r="G195" s="132">
        <f>CS_6!G7</f>
        <v>0</v>
      </c>
      <c r="H195" s="132">
        <f>CS_6!H7</f>
        <v>0</v>
      </c>
      <c r="I195" s="132">
        <f>CS_6!I7</f>
        <v>2.6207781884162787E-7</v>
      </c>
      <c r="J195" s="132">
        <f>CS_6!J7</f>
        <v>0</v>
      </c>
      <c r="K195" s="132">
        <f>CS_6!K7</f>
        <v>0</v>
      </c>
      <c r="L195" s="132">
        <f>CS_6!L7</f>
        <v>0</v>
      </c>
      <c r="M195" s="29">
        <f t="shared" si="52"/>
        <v>0</v>
      </c>
      <c r="N195" s="46" t="s">
        <v>112</v>
      </c>
      <c r="O195" s="31">
        <f t="shared" ref="O195:O196" si="53">AW194</f>
        <v>-4.9999583334736641E-3</v>
      </c>
      <c r="P195" s="31">
        <f t="shared" ref="P195:P196" si="54">BB194</f>
        <v>0</v>
      </c>
      <c r="Q195" s="31">
        <f t="shared" ref="Q195:Q196" si="55">BG194</f>
        <v>-4.9999583334736641E-3</v>
      </c>
      <c r="AB195" t="s">
        <v>72</v>
      </c>
      <c r="AC195" s="29">
        <f>C180</f>
        <v>0</v>
      </c>
      <c r="AD195" s="29"/>
      <c r="AE195" s="78">
        <v>0</v>
      </c>
      <c r="AF195" s="49">
        <f>-AG194</f>
        <v>9.9998333341666645E-3</v>
      </c>
      <c r="AG195" s="49">
        <f>AF194</f>
        <v>0.99995000041666526</v>
      </c>
      <c r="AH195" s="79">
        <v>0</v>
      </c>
      <c r="AI195" s="80"/>
      <c r="AJ195" s="49">
        <f>-SIN(AK192)</f>
        <v>-9.9998333341666645E-3</v>
      </c>
      <c r="AK195" s="49">
        <v>0</v>
      </c>
      <c r="AL195" s="49">
        <f>COS(AK192)</f>
        <v>0.99995000041666526</v>
      </c>
      <c r="AM195" s="49">
        <v>0</v>
      </c>
      <c r="AN195" s="80"/>
      <c r="AO195" s="49">
        <v>0</v>
      </c>
      <c r="AP195" s="49">
        <v>0</v>
      </c>
      <c r="AQ195" s="49">
        <v>1</v>
      </c>
      <c r="AR195" s="49">
        <v>0</v>
      </c>
      <c r="AS195" s="80"/>
      <c r="AT195" s="29" t="s">
        <v>65</v>
      </c>
      <c r="AU195" s="49">
        <v>9.9998333341666645E-3</v>
      </c>
      <c r="AV195" s="49">
        <f>AU195-$AC195</f>
        <v>9.9998333341666645E-3</v>
      </c>
      <c r="AW195" s="49">
        <f>AV195/AF192</f>
        <v>0.99998333341666645</v>
      </c>
      <c r="AX195" s="80"/>
      <c r="AY195" s="29" t="s">
        <v>65</v>
      </c>
      <c r="AZ195" s="49">
        <v>0</v>
      </c>
      <c r="BA195" s="49">
        <f>AZ195-$AC195</f>
        <v>0</v>
      </c>
      <c r="BB195" s="49">
        <f>BA195/AK192</f>
        <v>0</v>
      </c>
      <c r="BC195" s="80"/>
      <c r="BD195" s="29" t="s">
        <v>65</v>
      </c>
      <c r="BE195" s="49">
        <v>0</v>
      </c>
      <c r="BF195" s="49">
        <f>BE195-$AC195</f>
        <v>0</v>
      </c>
      <c r="BG195" s="49">
        <f>BF195/AP192</f>
        <v>0</v>
      </c>
    </row>
    <row r="196" spans="1:59" ht="15" customHeight="1" x14ac:dyDescent="0.25">
      <c r="A196" s="342"/>
      <c r="B196" s="41" t="s">
        <v>108</v>
      </c>
      <c r="C196" s="43">
        <v>1</v>
      </c>
      <c r="E196" s="4" t="s">
        <v>85</v>
      </c>
      <c r="F196" s="49">
        <v>1.5098495689548881E-7</v>
      </c>
      <c r="G196" s="132">
        <f>CS_6!G8</f>
        <v>0</v>
      </c>
      <c r="H196" s="132">
        <f>CS_6!H8</f>
        <v>-1.5098495689548882E-8</v>
      </c>
      <c r="I196" s="132">
        <f>CS_6!I8</f>
        <v>0</v>
      </c>
      <c r="J196" s="132">
        <f>CS_6!J8</f>
        <v>1.4559878824534882E-8</v>
      </c>
      <c r="K196" s="132">
        <f>CS_6!K8</f>
        <v>0</v>
      </c>
      <c r="L196" s="132">
        <f>CS_6!L8</f>
        <v>0</v>
      </c>
      <c r="M196" s="29">
        <f>C197</f>
        <v>0</v>
      </c>
      <c r="N196" s="46" t="s">
        <v>113</v>
      </c>
      <c r="O196" s="31">
        <f t="shared" si="53"/>
        <v>0.99998333341666645</v>
      </c>
      <c r="P196" s="31">
        <f t="shared" si="54"/>
        <v>0</v>
      </c>
      <c r="Q196" s="31">
        <f t="shared" si="55"/>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42"/>
      <c r="B197" s="41" t="s">
        <v>103</v>
      </c>
      <c r="C197" s="43">
        <f t="array" ref="C197:C200">MMULT(O165:R168,E173:E176)</f>
        <v>0</v>
      </c>
      <c r="E197" s="4" t="s">
        <v>86</v>
      </c>
      <c r="F197" s="49">
        <v>-4.529548706864665E-8</v>
      </c>
      <c r="G197" s="132">
        <f>CS_6!G9</f>
        <v>-1.5098495689548882E-8</v>
      </c>
      <c r="H197" s="132">
        <f>CS_6!H9</f>
        <v>0</v>
      </c>
      <c r="I197" s="132">
        <f>CS_6!I9</f>
        <v>0</v>
      </c>
      <c r="J197" s="132">
        <f>CS_6!J9</f>
        <v>0</v>
      </c>
      <c r="K197" s="132">
        <f>CS_6!K9</f>
        <v>4.3138559112996808E-11</v>
      </c>
      <c r="L197" s="132">
        <f>CS_6!L9</f>
        <v>0</v>
      </c>
      <c r="M197" s="29">
        <f>C198</f>
        <v>0</v>
      </c>
      <c r="O197" s="3" t="s">
        <v>82</v>
      </c>
      <c r="T197" s="3" t="s">
        <v>83</v>
      </c>
      <c r="AE197" t="s">
        <v>95</v>
      </c>
      <c r="AJ197" t="s">
        <v>94</v>
      </c>
      <c r="AO197" t="s">
        <v>96</v>
      </c>
    </row>
    <row r="198" spans="1:59" ht="15" customHeight="1" x14ac:dyDescent="0.25">
      <c r="A198" s="342"/>
      <c r="B198" s="41" t="s">
        <v>104</v>
      </c>
      <c r="C198" s="43">
        <v>0</v>
      </c>
      <c r="E198" s="4" t="s">
        <v>87</v>
      </c>
      <c r="F198" s="49">
        <v>-9.7070146856257055E-9</v>
      </c>
      <c r="G198" s="132">
        <f>CS_6!G10</f>
        <v>0</v>
      </c>
      <c r="H198" s="132">
        <f>CS_6!H10</f>
        <v>0</v>
      </c>
      <c r="I198" s="132">
        <f>CS_6!I10</f>
        <v>0</v>
      </c>
      <c r="J198" s="132">
        <f>CS_6!J10</f>
        <v>0</v>
      </c>
      <c r="K198" s="132">
        <f>CS_6!K10</f>
        <v>0</v>
      </c>
      <c r="L198" s="132">
        <f>CS_6!L10</f>
        <v>1.5407959818453501E-10</v>
      </c>
      <c r="M198" s="29">
        <f>C199</f>
        <v>-63</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0</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42"/>
      <c r="B199" s="41" t="s">
        <v>105</v>
      </c>
      <c r="C199" s="43">
        <v>-63</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1</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42"/>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0</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42"/>
      <c r="B201" s="77" t="s">
        <v>182</v>
      </c>
      <c r="C201"/>
      <c r="D201" s="90" t="s">
        <v>245</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42"/>
      <c r="B202" s="41" t="s">
        <v>100</v>
      </c>
      <c r="C202" s="42">
        <v>0</v>
      </c>
      <c r="D202" s="41" t="s">
        <v>100</v>
      </c>
      <c r="E202" s="43">
        <f>C193+C202</f>
        <v>3</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42"/>
      <c r="B203" s="41" t="s">
        <v>101</v>
      </c>
      <c r="C203" s="42">
        <v>0</v>
      </c>
      <c r="D203" s="41" t="s">
        <v>101</v>
      </c>
      <c r="E203" s="43">
        <f>C194+C203</f>
        <v>-10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42"/>
      <c r="B204" s="41" t="s">
        <v>102</v>
      </c>
      <c r="C204" s="42">
        <v>0</v>
      </c>
      <c r="D204" s="41" t="s">
        <v>102</v>
      </c>
      <c r="E204" s="43">
        <f>C195+C204</f>
        <v>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42"/>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42"/>
      <c r="B206" s="41" t="s">
        <v>103</v>
      </c>
      <c r="C206" s="42">
        <v>0</v>
      </c>
      <c r="D206" s="41" t="s">
        <v>103</v>
      </c>
      <c r="E206" s="43">
        <f>C197+C206+C195*C153-C194*C154</f>
        <v>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42"/>
      <c r="B207" s="41" t="s">
        <v>104</v>
      </c>
      <c r="C207" s="42">
        <v>0</v>
      </c>
      <c r="D207" s="41" t="s">
        <v>104</v>
      </c>
      <c r="E207" s="43">
        <f>C198+C207+C193*C154-C195*C152</f>
        <v>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42"/>
      <c r="B208" s="41" t="s">
        <v>105</v>
      </c>
      <c r="C208" s="42">
        <v>0</v>
      </c>
      <c r="D208" s="41" t="s">
        <v>105</v>
      </c>
      <c r="E208" s="43">
        <f>C199+C208+C194*C152-C193*C153</f>
        <v>-3</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43"/>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38" t="s">
        <v>326</v>
      </c>
      <c r="B210" s="68" t="s">
        <v>249</v>
      </c>
      <c r="E210" s="1" t="s">
        <v>146</v>
      </c>
    </row>
    <row r="211" spans="1:62" ht="15" customHeight="1" x14ac:dyDescent="0.25">
      <c r="A211" s="338"/>
      <c r="B211" s="12" t="s">
        <v>73</v>
      </c>
      <c r="C211" s="56">
        <f>C189</f>
        <v>0</v>
      </c>
      <c r="E211" s="324" t="s">
        <v>138</v>
      </c>
      <c r="F211" s="324"/>
      <c r="G211" s="324" t="s">
        <v>139</v>
      </c>
      <c r="H211" s="324"/>
      <c r="N211" s="34" t="s">
        <v>98</v>
      </c>
      <c r="O211" s="1"/>
      <c r="P211" s="67"/>
      <c r="Q211" s="1"/>
      <c r="R211" s="1"/>
      <c r="S211" s="34" t="s">
        <v>136</v>
      </c>
      <c r="Y211" s="95" t="s">
        <v>297</v>
      </c>
    </row>
    <row r="212" spans="1:62" ht="15" customHeight="1" x14ac:dyDescent="0.25">
      <c r="A212" s="338"/>
      <c r="B212" s="12" t="s">
        <v>74</v>
      </c>
      <c r="C212" s="56">
        <f>C190</f>
        <v>0</v>
      </c>
      <c r="E212" s="46" t="s">
        <v>84</v>
      </c>
      <c r="F212" s="48">
        <f>CS_7!B45</f>
        <v>5.0000000000000001E-3</v>
      </c>
      <c r="G212" s="46" t="s">
        <v>84</v>
      </c>
      <c r="H212" s="48">
        <f>CS_7!B52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38"/>
      <c r="B213" s="12" t="s">
        <v>75</v>
      </c>
      <c r="C213" s="56">
        <f>C191</f>
        <v>0</v>
      </c>
      <c r="E213" s="46" t="s">
        <v>112</v>
      </c>
      <c r="F213" s="48">
        <f>CS_7!B46</f>
        <v>5.0000000000000001E-3</v>
      </c>
      <c r="G213" s="46" t="s">
        <v>112</v>
      </c>
      <c r="H213" s="48">
        <f>CS_7!B53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1.7217323663187434E-6</v>
      </c>
      <c r="Z213" s="29">
        <f>F222*O227</f>
        <v>0</v>
      </c>
      <c r="AA213" s="29">
        <f>F223*P227</f>
        <v>0</v>
      </c>
      <c r="AB213" s="29">
        <f>F224*Q227</f>
        <v>0</v>
      </c>
    </row>
    <row r="214" spans="1:62" ht="15" customHeight="1" x14ac:dyDescent="0.25">
      <c r="A214" s="60">
        <v>7</v>
      </c>
      <c r="B214" s="1" t="s">
        <v>76</v>
      </c>
      <c r="E214" s="46" t="s">
        <v>113</v>
      </c>
      <c r="F214" s="48">
        <f>CS_7!B47</f>
        <v>5.0000000000000001E-3</v>
      </c>
      <c r="G214" s="46" t="s">
        <v>113</v>
      </c>
      <c r="H214" s="48">
        <f>CS_7!B54</f>
        <v>0</v>
      </c>
      <c r="N214" s="46" t="s">
        <v>112</v>
      </c>
      <c r="O214" s="50">
        <f t="shared" ref="O214:O215" si="56">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7">F220+F227</f>
        <v>-5.7308085130663016E-6</v>
      </c>
      <c r="Z214" s="29">
        <f>F222*O228</f>
        <v>0</v>
      </c>
      <c r="AA214" s="29">
        <f>F223*P228</f>
        <v>0</v>
      </c>
      <c r="AB214" s="29">
        <f>F224*Q228</f>
        <v>0</v>
      </c>
    </row>
    <row r="215" spans="1:62" ht="15" customHeight="1" x14ac:dyDescent="0.25">
      <c r="A215" s="43">
        <f>IF(A214&gt;Naxes,0,1)</f>
        <v>0</v>
      </c>
      <c r="B215" s="2" t="s">
        <v>176</v>
      </c>
      <c r="C215" s="37">
        <v>0</v>
      </c>
      <c r="E215" s="4" t="s">
        <v>85</v>
      </c>
      <c r="F215" s="48">
        <f>CS_7!B48</f>
        <v>5.0000000000000009E-5</v>
      </c>
      <c r="G215" s="4" t="s">
        <v>85</v>
      </c>
      <c r="H215" s="48">
        <f>CS_7!B55</f>
        <v>0</v>
      </c>
      <c r="N215" s="46" t="s">
        <v>113</v>
      </c>
      <c r="O215" s="50">
        <f t="shared" si="56"/>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7"/>
        <v>0</v>
      </c>
      <c r="Z215" s="29">
        <f>F222*O229</f>
        <v>0</v>
      </c>
      <c r="AA215" s="29">
        <f>F223*P229</f>
        <v>0</v>
      </c>
      <c r="AB215" s="29">
        <f>F224*Q229</f>
        <v>0</v>
      </c>
    </row>
    <row r="216" spans="1:62" ht="15" customHeight="1" x14ac:dyDescent="0.25">
      <c r="A216" s="336" t="s">
        <v>127</v>
      </c>
      <c r="B216" s="2" t="s">
        <v>178</v>
      </c>
      <c r="C216" s="37">
        <v>0</v>
      </c>
      <c r="E216" s="4" t="s">
        <v>86</v>
      </c>
      <c r="F216" s="48">
        <f>CS_7!B49</f>
        <v>5.0000000000000009E-5</v>
      </c>
      <c r="G216" s="4" t="s">
        <v>86</v>
      </c>
      <c r="H216" s="48">
        <f>CS_7!B56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36"/>
      <c r="B217" s="2" t="s">
        <v>177</v>
      </c>
      <c r="C217" s="37">
        <v>0</v>
      </c>
      <c r="E217" s="4" t="s">
        <v>87</v>
      </c>
      <c r="F217" s="48">
        <f>CS_7!B50</f>
        <v>4.999999975000001E-5</v>
      </c>
      <c r="G217" s="4" t="s">
        <v>87</v>
      </c>
      <c r="H217" s="48">
        <f>CS_7!B57</f>
        <v>0</v>
      </c>
      <c r="X217" s="6"/>
    </row>
    <row r="218" spans="1:62" ht="32.1" customHeight="1" x14ac:dyDescent="0.25">
      <c r="A218" s="336"/>
      <c r="B218" s="2" t="s">
        <v>244</v>
      </c>
      <c r="C218" s="38">
        <v>0</v>
      </c>
      <c r="E218" s="337" t="s">
        <v>303</v>
      </c>
      <c r="F218" s="337"/>
      <c r="G218" s="324" t="s">
        <v>250</v>
      </c>
      <c r="H218" s="324"/>
      <c r="I218" s="337" t="s">
        <v>306</v>
      </c>
      <c r="J218" s="337"/>
      <c r="K218" s="337" t="s">
        <v>304</v>
      </c>
      <c r="L218" s="337"/>
      <c r="N218" s="34" t="s">
        <v>99</v>
      </c>
      <c r="O218" s="1"/>
      <c r="P218" s="67"/>
      <c r="Q218" s="1"/>
      <c r="R218" s="1"/>
      <c r="S218" s="34" t="s">
        <v>137</v>
      </c>
      <c r="X218" s="6"/>
      <c r="Y218" s="95" t="s">
        <v>296</v>
      </c>
    </row>
    <row r="219" spans="1:62" ht="15" customHeight="1" x14ac:dyDescent="0.25">
      <c r="A219" s="336"/>
      <c r="B219" s="2" t="s">
        <v>77</v>
      </c>
      <c r="C219" s="38">
        <v>0</v>
      </c>
      <c r="E219" s="46" t="s">
        <v>84</v>
      </c>
      <c r="F219" s="49">
        <f>E235/IF(H219=0,1000000000000,H219)</f>
        <v>7.4999999999999993E-9</v>
      </c>
      <c r="G219" s="4" t="s">
        <v>117</v>
      </c>
      <c r="H219" s="29">
        <f>CS_7!B25</f>
        <v>400000000</v>
      </c>
      <c r="I219" s="4" t="s">
        <v>85</v>
      </c>
      <c r="J219" s="49">
        <f>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41" t="s">
        <v>361</v>
      </c>
      <c r="B220" s="2" t="s">
        <v>107</v>
      </c>
      <c r="C220" s="37">
        <v>0</v>
      </c>
      <c r="E220" s="46" t="s">
        <v>112</v>
      </c>
      <c r="F220" s="49">
        <f t="shared" ref="F220:F221" si="58">E236/IF(H220=0,1000000000000,H220)</f>
        <v>-2.4999999999999999E-8</v>
      </c>
      <c r="G220" s="4" t="s">
        <v>118</v>
      </c>
      <c r="H220" s="29">
        <f>CS_7!B26</f>
        <v>400000000</v>
      </c>
      <c r="I220" s="4" t="s">
        <v>86</v>
      </c>
      <c r="J220" s="49">
        <f t="shared" ref="J220:J221" si="59">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1.7217323663187434E-6</v>
      </c>
      <c r="Z220" s="29">
        <f t="array" ref="Z220:Z223">MMULT(T231:W234,Z213:Z216)</f>
        <v>0</v>
      </c>
      <c r="AA220" s="29">
        <f t="array" ref="AA220:AA223">MMULT(T231:W234,AA213:AA216)</f>
        <v>0</v>
      </c>
      <c r="AB220" s="29">
        <f t="array" ref="AB220:AB223">MMULT(T231:W234,AB213:AB216)</f>
        <v>0</v>
      </c>
    </row>
    <row r="221" spans="1:62" ht="15" customHeight="1" x14ac:dyDescent="0.25">
      <c r="A221" s="342"/>
      <c r="B221" s="34" t="s">
        <v>78</v>
      </c>
      <c r="E221" s="46" t="s">
        <v>113</v>
      </c>
      <c r="F221" s="49">
        <f t="shared" si="58"/>
        <v>0</v>
      </c>
      <c r="G221" s="4" t="s">
        <v>119</v>
      </c>
      <c r="H221" s="29">
        <f>CS_7!B27</f>
        <v>400000000</v>
      </c>
      <c r="I221" s="4" t="s">
        <v>87</v>
      </c>
      <c r="J221" s="49">
        <f t="shared" si="59"/>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-5.7308085130663016E-6</v>
      </c>
      <c r="Z221" s="29">
        <v>0</v>
      </c>
      <c r="AA221" s="29">
        <v>0</v>
      </c>
      <c r="AB221" s="29">
        <v>0</v>
      </c>
    </row>
    <row r="222" spans="1:62" ht="15" customHeight="1" x14ac:dyDescent="0.25">
      <c r="A222" s="342"/>
      <c r="B222" s="12" t="s">
        <v>79</v>
      </c>
      <c r="C222" s="31">
        <f>AC231+C218</f>
        <v>0</v>
      </c>
      <c r="E222" s="4" t="s">
        <v>85</v>
      </c>
      <c r="F222" s="49">
        <f>E239/IF(H222=0,1000000000000,H222)+L219</f>
        <v>0</v>
      </c>
      <c r="G222" s="46" t="s">
        <v>8</v>
      </c>
      <c r="H222" s="29">
        <f>CS_7!B29</f>
        <v>4000404375000</v>
      </c>
      <c r="I222" s="4" t="s">
        <v>305</v>
      </c>
      <c r="J222" s="29">
        <v>1</v>
      </c>
      <c r="K222" s="4" t="s">
        <v>305</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0</v>
      </c>
      <c r="Z222" s="29">
        <v>0</v>
      </c>
      <c r="AA222" s="29">
        <v>0</v>
      </c>
      <c r="AB222" s="29">
        <v>0</v>
      </c>
    </row>
    <row r="223" spans="1:62" ht="15" customHeight="1" x14ac:dyDescent="0.25">
      <c r="A223" s="342"/>
      <c r="B223" s="12" t="s">
        <v>80</v>
      </c>
      <c r="C223" s="31">
        <f>AC232+C219</f>
        <v>0</v>
      </c>
      <c r="E223" s="4" t="s">
        <v>86</v>
      </c>
      <c r="F223" s="49">
        <f t="shared" ref="F223:F224" si="60">E240/IF(H223=0,1000000000000,H223)+L220</f>
        <v>0</v>
      </c>
      <c r="G223" s="46" t="s">
        <v>120</v>
      </c>
      <c r="H223" s="29">
        <f>CS_7!B30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42"/>
      <c r="B224" s="12" t="s">
        <v>81</v>
      </c>
      <c r="C224" s="31">
        <f>AC233+C220</f>
        <v>0</v>
      </c>
      <c r="E224" s="4" t="s">
        <v>87</v>
      </c>
      <c r="F224" s="49">
        <f t="shared" si="60"/>
        <v>0</v>
      </c>
      <c r="G224" s="46" t="s">
        <v>116</v>
      </c>
      <c r="H224" s="29">
        <f>CS_7!B31</f>
        <v>8000134791666.667</v>
      </c>
      <c r="AB224" s="5"/>
      <c r="AU224" s="5" t="s">
        <v>67</v>
      </c>
      <c r="AZ224" s="5" t="s">
        <v>92</v>
      </c>
      <c r="BE224" s="5" t="s">
        <v>97</v>
      </c>
      <c r="BJ224" s="5" t="s">
        <v>97</v>
      </c>
    </row>
    <row r="225" spans="1:59" ht="31.5" x14ac:dyDescent="0.25">
      <c r="A225" s="342"/>
      <c r="B225" s="69" t="s">
        <v>106</v>
      </c>
      <c r="E225" s="324" t="s">
        <v>294</v>
      </c>
      <c r="F225" s="344"/>
      <c r="G225" s="345" t="s">
        <v>293</v>
      </c>
      <c r="H225" s="346"/>
      <c r="I225" s="346"/>
      <c r="J225" s="346"/>
      <c r="K225" s="346"/>
      <c r="L225" s="347"/>
      <c r="M225" s="94" t="s">
        <v>295</v>
      </c>
      <c r="N225" s="85" t="s">
        <v>247</v>
      </c>
      <c r="AE225" t="s">
        <v>226</v>
      </c>
      <c r="AF225" s="92">
        <v>0.01</v>
      </c>
      <c r="AJ225" t="s">
        <v>93</v>
      </c>
      <c r="AK225" s="93">
        <v>0.01</v>
      </c>
      <c r="AL225" s="7"/>
      <c r="AM225" s="7"/>
      <c r="AO225" t="s">
        <v>225</v>
      </c>
      <c r="AP225" s="92">
        <v>0.01</v>
      </c>
      <c r="AU225" s="7" t="s">
        <v>0</v>
      </c>
      <c r="AV225" s="7" t="s">
        <v>1</v>
      </c>
      <c r="AW225" s="7" t="s">
        <v>2</v>
      </c>
      <c r="AZ225" s="7" t="s">
        <v>0</v>
      </c>
      <c r="BA225" s="7" t="s">
        <v>1</v>
      </c>
      <c r="BB225" s="7" t="s">
        <v>2</v>
      </c>
      <c r="BE225" s="7" t="s">
        <v>0</v>
      </c>
      <c r="BF225" s="7" t="s">
        <v>1</v>
      </c>
      <c r="BG225" s="7" t="s">
        <v>2</v>
      </c>
    </row>
    <row r="226" spans="1:59" ht="15" customHeight="1" x14ac:dyDescent="0.25">
      <c r="A226" s="342"/>
      <c r="B226" s="41" t="s">
        <v>100</v>
      </c>
      <c r="C226" s="43">
        <f t="array" ref="C226:C229">MMULT(O198:R201,E202:E205)</f>
        <v>3</v>
      </c>
      <c r="E226" s="46" t="s">
        <v>84</v>
      </c>
      <c r="F226" s="49">
        <f t="array" ref="F226:F231">MMULT(G226:L231,M226:M231)</f>
        <v>1.7142323663187435E-6</v>
      </c>
      <c r="G226" s="132">
        <f>CS_7!G5</f>
        <v>5.7058085130663014E-7</v>
      </c>
      <c r="H226" s="132">
        <f>CS_7!H5</f>
        <v>0</v>
      </c>
      <c r="I226" s="132">
        <f>CS_7!I5</f>
        <v>0</v>
      </c>
      <c r="J226" s="132">
        <f>CS_7!J5</f>
        <v>0</v>
      </c>
      <c r="K226" s="132">
        <f>CS_7!K5</f>
        <v>0</v>
      </c>
      <c r="L226" s="132">
        <f>CS_7!L5</f>
        <v>-8.2993746628438785E-10</v>
      </c>
      <c r="M226" s="29">
        <f>C226</f>
        <v>3</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0.99995000041666526</v>
      </c>
      <c r="AK226" s="49">
        <v>0</v>
      </c>
      <c r="AL226" s="49">
        <f>-AJ228</f>
        <v>9.9998333341666645E-3</v>
      </c>
      <c r="AM226" s="49">
        <v>0</v>
      </c>
      <c r="AN226" s="80"/>
      <c r="AO226" s="49">
        <f>COS(AP225)</f>
        <v>0.99995000041666526</v>
      </c>
      <c r="AP226" s="49">
        <f>-AO227</f>
        <v>-9.9998333341666645E-3</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42"/>
      <c r="B227" s="41" t="s">
        <v>101</v>
      </c>
      <c r="C227" s="43">
        <v>-10</v>
      </c>
      <c r="E227" s="46" t="s">
        <v>112</v>
      </c>
      <c r="F227" s="49">
        <v>-5.7058085130663019E-6</v>
      </c>
      <c r="G227" s="132">
        <f>CS_7!G6</f>
        <v>0</v>
      </c>
      <c r="H227" s="132">
        <f>CS_7!H6</f>
        <v>5.7058085130663014E-7</v>
      </c>
      <c r="I227" s="132">
        <f>CS_7!I6</f>
        <v>0</v>
      </c>
      <c r="J227" s="132">
        <f>CS_7!J6</f>
        <v>0</v>
      </c>
      <c r="K227" s="132">
        <f>CS_7!K6</f>
        <v>0</v>
      </c>
      <c r="L227" s="132">
        <f>CS_7!L6</f>
        <v>0</v>
      </c>
      <c r="M227" s="29">
        <f t="shared" ref="M227:M228" si="61">C227</f>
        <v>-10</v>
      </c>
      <c r="N227" s="46" t="s">
        <v>84</v>
      </c>
      <c r="O227" s="31">
        <f>AW226</f>
        <v>0</v>
      </c>
      <c r="P227" s="31">
        <f>BB226</f>
        <v>0</v>
      </c>
      <c r="Q227" s="31">
        <f>BG226</f>
        <v>0</v>
      </c>
      <c r="AB227" t="s">
        <v>71</v>
      </c>
      <c r="AC227" s="29">
        <f>C212</f>
        <v>0</v>
      </c>
      <c r="AD227" s="29"/>
      <c r="AE227" s="78">
        <v>0</v>
      </c>
      <c r="AF227" s="49">
        <f>COS(AF225)</f>
        <v>0.99995000041666526</v>
      </c>
      <c r="AG227" s="49">
        <f>-SIN(AF225)</f>
        <v>-9.9998333341666645E-3</v>
      </c>
      <c r="AH227" s="79">
        <v>0</v>
      </c>
      <c r="AI227" s="80"/>
      <c r="AJ227" s="49">
        <v>0</v>
      </c>
      <c r="AK227" s="49">
        <v>1</v>
      </c>
      <c r="AL227" s="49">
        <v>0</v>
      </c>
      <c r="AM227" s="49">
        <v>0</v>
      </c>
      <c r="AN227" s="80"/>
      <c r="AO227" s="49">
        <f>SIN(AP225)</f>
        <v>9.9998333341666645E-3</v>
      </c>
      <c r="AP227" s="49">
        <f>AO226</f>
        <v>0.99995000041666526</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42"/>
      <c r="B228" s="41" t="s">
        <v>102</v>
      </c>
      <c r="C228" s="43">
        <v>0</v>
      </c>
      <c r="E228" s="46" t="s">
        <v>113</v>
      </c>
      <c r="F228" s="49">
        <v>0</v>
      </c>
      <c r="G228" s="132">
        <f>CS_7!G7</f>
        <v>0</v>
      </c>
      <c r="H228" s="132">
        <f>CS_7!H7</f>
        <v>0</v>
      </c>
      <c r="I228" s="132">
        <f>CS_7!I7</f>
        <v>5.8389034875462235E-9</v>
      </c>
      <c r="J228" s="132">
        <f>CS_7!J7</f>
        <v>2.7103386398944436E-9</v>
      </c>
      <c r="K228" s="132">
        <f>CS_7!K7</f>
        <v>0</v>
      </c>
      <c r="L228" s="132">
        <f>CS_7!L7</f>
        <v>0</v>
      </c>
      <c r="M228" s="29">
        <f t="shared" si="61"/>
        <v>0</v>
      </c>
      <c r="N228" s="46" t="s">
        <v>112</v>
      </c>
      <c r="O228" s="31">
        <f t="shared" ref="O228:O229" si="62">AW227</f>
        <v>0</v>
      </c>
      <c r="P228" s="31">
        <f t="shared" ref="P228:P229" si="63">BB227</f>
        <v>0</v>
      </c>
      <c r="Q228" s="31">
        <f t="shared" ref="Q228:Q229" si="64">BG227</f>
        <v>0</v>
      </c>
      <c r="AB228" t="s">
        <v>72</v>
      </c>
      <c r="AC228" s="29">
        <f>C213</f>
        <v>0</v>
      </c>
      <c r="AD228" s="29"/>
      <c r="AE228" s="78">
        <v>0</v>
      </c>
      <c r="AF228" s="49">
        <f>-AG227</f>
        <v>9.9998333341666645E-3</v>
      </c>
      <c r="AG228" s="49">
        <f>AF227</f>
        <v>0.99995000041666526</v>
      </c>
      <c r="AH228" s="79">
        <v>0</v>
      </c>
      <c r="AI228" s="80"/>
      <c r="AJ228" s="49">
        <f>-SIN(AK225)</f>
        <v>-9.9998333341666645E-3</v>
      </c>
      <c r="AK228" s="49">
        <v>0</v>
      </c>
      <c r="AL228" s="49">
        <f>COS(AK225)</f>
        <v>0.99995000041666526</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42"/>
      <c r="B229" s="41" t="s">
        <v>108</v>
      </c>
      <c r="C229" s="43">
        <v>1</v>
      </c>
      <c r="E229" s="4" t="s">
        <v>85</v>
      </c>
      <c r="F229" s="49">
        <v>0</v>
      </c>
      <c r="G229" s="132">
        <f>CS_7!G8</f>
        <v>0</v>
      </c>
      <c r="H229" s="132">
        <f>CS_7!H8</f>
        <v>0</v>
      </c>
      <c r="I229" s="132">
        <f>CS_7!I8</f>
        <v>2.7103386398944436E-9</v>
      </c>
      <c r="J229" s="132">
        <f>CS_7!J8</f>
        <v>2.6008955192453184E-10</v>
      </c>
      <c r="K229" s="132">
        <f>CS_7!K8</f>
        <v>0</v>
      </c>
      <c r="L229" s="132">
        <f>CS_7!L8</f>
        <v>0</v>
      </c>
      <c r="M229" s="29">
        <f>C230</f>
        <v>0</v>
      </c>
      <c r="N229" s="46" t="s">
        <v>113</v>
      </c>
      <c r="O229" s="31">
        <f t="shared" si="62"/>
        <v>0</v>
      </c>
      <c r="P229" s="31">
        <f t="shared" si="63"/>
        <v>0</v>
      </c>
      <c r="Q229" s="31">
        <f t="shared" si="64"/>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42"/>
      <c r="B230" s="41" t="s">
        <v>103</v>
      </c>
      <c r="C230" s="43">
        <f t="array" ref="C230:C233">MMULT(O198:R201,E206:E209)</f>
        <v>0</v>
      </c>
      <c r="E230" s="4" t="s">
        <v>86</v>
      </c>
      <c r="F230" s="49">
        <v>0</v>
      </c>
      <c r="G230" s="132">
        <f>CS_7!G9</f>
        <v>0</v>
      </c>
      <c r="H230" s="132">
        <f>CS_7!H9</f>
        <v>0</v>
      </c>
      <c r="I230" s="132">
        <f>CS_7!I9</f>
        <v>0</v>
      </c>
      <c r="J230" s="132">
        <f>CS_7!J9</f>
        <v>0</v>
      </c>
      <c r="K230" s="132">
        <f>CS_7!K9</f>
        <v>2.3892740990442565E-10</v>
      </c>
      <c r="L230" s="132">
        <f>CS_7!L9</f>
        <v>0</v>
      </c>
      <c r="M230" s="29">
        <f>C231</f>
        <v>0</v>
      </c>
      <c r="O230" s="3" t="s">
        <v>82</v>
      </c>
      <c r="T230" s="3" t="s">
        <v>83</v>
      </c>
      <c r="AE230" t="s">
        <v>95</v>
      </c>
      <c r="AJ230" t="s">
        <v>94</v>
      </c>
      <c r="AO230" t="s">
        <v>96</v>
      </c>
    </row>
    <row r="231" spans="1:59" ht="15" customHeight="1" x14ac:dyDescent="0.25">
      <c r="A231" s="342"/>
      <c r="B231" s="41" t="s">
        <v>104</v>
      </c>
      <c r="C231" s="43">
        <v>0</v>
      </c>
      <c r="E231" s="4" t="s">
        <v>87</v>
      </c>
      <c r="F231" s="49">
        <v>-2.4898123988531638E-9</v>
      </c>
      <c r="G231" s="132">
        <f>CS_7!G10</f>
        <v>-8.2993746628438785E-10</v>
      </c>
      <c r="H231" s="132">
        <f>CS_7!H10</f>
        <v>0</v>
      </c>
      <c r="I231" s="132">
        <f>CS_7!I10</f>
        <v>0</v>
      </c>
      <c r="J231" s="132">
        <f>CS_7!J10</f>
        <v>0</v>
      </c>
      <c r="K231" s="132">
        <f>CS_7!K10</f>
        <v>0</v>
      </c>
      <c r="L231" s="132">
        <f>CS_7!L10</f>
        <v>0</v>
      </c>
      <c r="M231" s="29">
        <f>C232</f>
        <v>-3</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42"/>
      <c r="B232" s="41" t="s">
        <v>105</v>
      </c>
      <c r="C232" s="43">
        <v>-3</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42"/>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42"/>
      <c r="B234" s="77" t="s">
        <v>182</v>
      </c>
      <c r="C234"/>
      <c r="D234" s="90" t="s">
        <v>245</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42"/>
      <c r="B235" s="41" t="s">
        <v>100</v>
      </c>
      <c r="C235" s="42">
        <v>0</v>
      </c>
      <c r="D235" s="41" t="s">
        <v>100</v>
      </c>
      <c r="E235" s="43">
        <f>C226+C235</f>
        <v>3</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42"/>
      <c r="B236" s="41" t="s">
        <v>101</v>
      </c>
      <c r="C236" s="42">
        <v>0</v>
      </c>
      <c r="D236" s="41" t="s">
        <v>101</v>
      </c>
      <c r="E236" s="43">
        <f>C227+C236</f>
        <v>-10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42"/>
      <c r="B237" s="41" t="s">
        <v>102</v>
      </c>
      <c r="C237" s="42">
        <v>0</v>
      </c>
      <c r="D237" s="41" t="s">
        <v>102</v>
      </c>
      <c r="E237" s="43">
        <f>C228+C237</f>
        <v>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42"/>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42"/>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42"/>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42"/>
      <c r="B241" s="41" t="s">
        <v>105</v>
      </c>
      <c r="C241" s="42">
        <v>0</v>
      </c>
      <c r="D241" s="41" t="s">
        <v>105</v>
      </c>
      <c r="E241" s="43">
        <f>C232+C241+C227*C185-C226*C186</f>
        <v>0</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43"/>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38" t="s">
        <v>327</v>
      </c>
      <c r="B243" s="68" t="s">
        <v>249</v>
      </c>
      <c r="E243" s="1" t="s">
        <v>147</v>
      </c>
    </row>
    <row r="244" spans="1:44" ht="15" customHeight="1" x14ac:dyDescent="0.25">
      <c r="A244" s="338"/>
      <c r="B244" s="12" t="s">
        <v>73</v>
      </c>
      <c r="C244" s="56">
        <f>C222</f>
        <v>0</v>
      </c>
      <c r="E244" s="324" t="s">
        <v>138</v>
      </c>
      <c r="F244" s="324"/>
      <c r="G244" s="324" t="s">
        <v>139</v>
      </c>
      <c r="H244" s="324"/>
      <c r="N244" s="34" t="s">
        <v>98</v>
      </c>
      <c r="O244" s="1"/>
      <c r="P244" s="67"/>
      <c r="Q244" s="1"/>
      <c r="R244" s="1"/>
      <c r="S244" s="34" t="s">
        <v>136</v>
      </c>
      <c r="Y244" s="95" t="s">
        <v>297</v>
      </c>
    </row>
    <row r="245" spans="1:44" ht="15" customHeight="1" x14ac:dyDescent="0.25">
      <c r="A245" s="338"/>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38"/>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4.4209706414415371E-4</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65">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66">F253+F260</f>
        <v>-3.8639876352395671E-6</v>
      </c>
      <c r="Z247" s="29">
        <f>F255*O261</f>
        <v>0</v>
      </c>
      <c r="AA247" s="29">
        <f>F256*P261</f>
        <v>0</v>
      </c>
      <c r="AB247" s="29">
        <f>F257*Q261</f>
        <v>0</v>
      </c>
    </row>
    <row r="248" spans="1:44" ht="15" customHeight="1" x14ac:dyDescent="0.25">
      <c r="A248" s="43">
        <f>IF(A247&gt;Naxes,0,1)</f>
        <v>0</v>
      </c>
      <c r="B248" s="2" t="s">
        <v>176</v>
      </c>
      <c r="C248" s="37">
        <v>0</v>
      </c>
      <c r="E248" s="4" t="s">
        <v>85</v>
      </c>
      <c r="F248" s="48">
        <f>CS_8!B48</f>
        <v>1.0000000000000007E-4</v>
      </c>
      <c r="G248" s="4" t="s">
        <v>85</v>
      </c>
      <c r="H248" s="48">
        <f>CS_8!B55</f>
        <v>0</v>
      </c>
      <c r="N248" s="46" t="s">
        <v>113</v>
      </c>
      <c r="O248" s="50">
        <f t="shared" si="65"/>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66"/>
        <v>0</v>
      </c>
      <c r="Z248" s="29">
        <f>F255*O262</f>
        <v>0</v>
      </c>
      <c r="AA248" s="29">
        <f>F256*P262</f>
        <v>0</v>
      </c>
      <c r="AB248" s="29">
        <f>F257*Q262</f>
        <v>0</v>
      </c>
    </row>
    <row r="249" spans="1:44" ht="15" customHeight="1" x14ac:dyDescent="0.25">
      <c r="A249" s="336" t="s">
        <v>127</v>
      </c>
      <c r="B249" s="2" t="s">
        <v>178</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36"/>
      <c r="B250" s="2" t="s">
        <v>177</v>
      </c>
      <c r="C250" s="37">
        <v>0</v>
      </c>
      <c r="E250" s="4" t="s">
        <v>87</v>
      </c>
      <c r="F250" s="48">
        <f>CS_8!B50</f>
        <v>1.0000000000000007E-4</v>
      </c>
      <c r="G250" s="4" t="s">
        <v>87</v>
      </c>
      <c r="H250" s="48">
        <f>CS_8!B57</f>
        <v>0</v>
      </c>
      <c r="X250" s="6"/>
    </row>
    <row r="251" spans="1:44" ht="32.1" customHeight="1" x14ac:dyDescent="0.25">
      <c r="A251" s="336"/>
      <c r="B251" s="2" t="s">
        <v>244</v>
      </c>
      <c r="C251" s="37">
        <v>10</v>
      </c>
      <c r="E251" s="337" t="s">
        <v>303</v>
      </c>
      <c r="F251" s="337"/>
      <c r="G251" s="324" t="s">
        <v>250</v>
      </c>
      <c r="H251" s="324"/>
      <c r="I251" s="337" t="s">
        <v>306</v>
      </c>
      <c r="J251" s="337"/>
      <c r="K251" s="337" t="s">
        <v>304</v>
      </c>
      <c r="L251" s="337"/>
      <c r="N251" s="34" t="s">
        <v>99</v>
      </c>
      <c r="O251" s="1"/>
      <c r="P251" s="67"/>
      <c r="Q251" s="1"/>
      <c r="R251" s="1"/>
      <c r="S251" s="34" t="s">
        <v>137</v>
      </c>
      <c r="X251" s="6"/>
      <c r="Y251" s="95" t="s">
        <v>296</v>
      </c>
    </row>
    <row r="252" spans="1:44" ht="15" customHeight="1" x14ac:dyDescent="0.25">
      <c r="A252" s="336"/>
      <c r="B252" s="2" t="s">
        <v>77</v>
      </c>
      <c r="C252" s="38">
        <v>0</v>
      </c>
      <c r="E252" s="46" t="s">
        <v>84</v>
      </c>
      <c r="F252" s="49">
        <f>E268/IF(H252=0,1000000000000,H252)</f>
        <v>4.4209706414415371E-4</v>
      </c>
      <c r="G252" s="4" t="s">
        <v>117</v>
      </c>
      <c r="H252" s="29">
        <f>CS_8!B25</f>
        <v>6785.8401317539538</v>
      </c>
      <c r="I252" s="4" t="s">
        <v>85</v>
      </c>
      <c r="J252" s="49">
        <f>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41" t="s">
        <v>362</v>
      </c>
      <c r="B253" s="2" t="s">
        <v>107</v>
      </c>
      <c r="C253" s="37">
        <v>0</v>
      </c>
      <c r="E253" s="46" t="s">
        <v>112</v>
      </c>
      <c r="F253" s="49">
        <f t="shared" ref="F253:F254" si="67">E269/IF(H253=0,1000000000000,H253)</f>
        <v>-3.8639876352395671E-6</v>
      </c>
      <c r="G253" s="4" t="s">
        <v>118</v>
      </c>
      <c r="H253" s="29">
        <f>CS_8!B26</f>
        <v>2588000</v>
      </c>
      <c r="I253" s="4" t="s">
        <v>86</v>
      </c>
      <c r="J253" s="49">
        <f t="shared" ref="J253:J254" si="68">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4.4209706414415371E-4</v>
      </c>
      <c r="Z253" s="29">
        <f t="array" ref="Z253:Z256">MMULT(T264:W267,Z246:Z249)</f>
        <v>0</v>
      </c>
      <c r="AA253" s="29">
        <f t="array" ref="AA253:AA256">MMULT(T264:W267,AA246:AA249)</f>
        <v>0</v>
      </c>
      <c r="AB253" s="29">
        <f t="array" ref="AB253:AB256">MMULT(T264:W267,AB246:AB249)</f>
        <v>0</v>
      </c>
    </row>
    <row r="254" spans="1:44" ht="15" customHeight="1" x14ac:dyDescent="0.25">
      <c r="A254" s="342"/>
      <c r="B254" s="34" t="s">
        <v>78</v>
      </c>
      <c r="E254" s="46" t="s">
        <v>113</v>
      </c>
      <c r="F254" s="49">
        <f t="shared" si="67"/>
        <v>0</v>
      </c>
      <c r="G254" s="4" t="s">
        <v>119</v>
      </c>
      <c r="H254" s="29">
        <f>CS_8!B27</f>
        <v>2588000</v>
      </c>
      <c r="I254" s="4" t="s">
        <v>87</v>
      </c>
      <c r="J254" s="49">
        <f t="shared" si="68"/>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-3.8639876352395671E-6</v>
      </c>
      <c r="Z254" s="29">
        <v>0</v>
      </c>
      <c r="AA254" s="29">
        <v>0</v>
      </c>
      <c r="AB254" s="29">
        <v>0</v>
      </c>
    </row>
    <row r="255" spans="1:44" ht="15" customHeight="1" x14ac:dyDescent="0.25">
      <c r="A255" s="342"/>
      <c r="B255" s="12" t="s">
        <v>79</v>
      </c>
      <c r="C255" s="31">
        <f>AC264+C251</f>
        <v>10</v>
      </c>
      <c r="E255" s="4" t="s">
        <v>85</v>
      </c>
      <c r="F255" s="49">
        <f>E272/IF(H255=0,1000000000000,H255)+L252</f>
        <v>0</v>
      </c>
      <c r="G255" s="46" t="s">
        <v>8</v>
      </c>
      <c r="H255" s="29">
        <f>CS_8!B29</f>
        <v>6874375000</v>
      </c>
      <c r="I255" s="4" t="s">
        <v>305</v>
      </c>
      <c r="J255" s="29">
        <v>1</v>
      </c>
      <c r="K255" s="4" t="s">
        <v>305</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0</v>
      </c>
      <c r="Z255" s="29">
        <v>0</v>
      </c>
      <c r="AA255" s="29">
        <v>0</v>
      </c>
      <c r="AB255" s="29">
        <v>0</v>
      </c>
    </row>
    <row r="256" spans="1:44" ht="15" customHeight="1" x14ac:dyDescent="0.25">
      <c r="A256" s="342"/>
      <c r="B256" s="12" t="s">
        <v>80</v>
      </c>
      <c r="C256" s="31">
        <f>AC265+C252</f>
        <v>0</v>
      </c>
      <c r="E256" s="4" t="s">
        <v>86</v>
      </c>
      <c r="F256" s="49">
        <f t="shared" ref="F256:F257" si="69">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42"/>
      <c r="B257" s="12" t="s">
        <v>81</v>
      </c>
      <c r="C257" s="31">
        <f>AC266+C253</f>
        <v>0</v>
      </c>
      <c r="E257" s="4" t="s">
        <v>87</v>
      </c>
      <c r="F257" s="49">
        <f t="shared" si="69"/>
        <v>0</v>
      </c>
      <c r="G257" s="46" t="s">
        <v>116</v>
      </c>
      <c r="H257" s="29">
        <f>CS_8!B31</f>
        <v>6604791666.666667</v>
      </c>
      <c r="AB257" s="5"/>
      <c r="AU257" s="5" t="s">
        <v>67</v>
      </c>
      <c r="AZ257" s="5" t="s">
        <v>92</v>
      </c>
      <c r="BE257" s="5" t="s">
        <v>97</v>
      </c>
      <c r="BJ257" s="5" t="s">
        <v>97</v>
      </c>
    </row>
    <row r="258" spans="1:62" ht="31.5" x14ac:dyDescent="0.25">
      <c r="A258" s="342"/>
      <c r="B258" s="69" t="s">
        <v>106</v>
      </c>
      <c r="E258" s="324" t="s">
        <v>294</v>
      </c>
      <c r="F258" s="344"/>
      <c r="G258" s="345" t="s">
        <v>293</v>
      </c>
      <c r="H258" s="346"/>
      <c r="I258" s="346"/>
      <c r="J258" s="346"/>
      <c r="K258" s="346"/>
      <c r="L258" s="347"/>
      <c r="M258" s="94" t="s">
        <v>295</v>
      </c>
      <c r="N258" s="85" t="s">
        <v>247</v>
      </c>
      <c r="AE258" t="s">
        <v>226</v>
      </c>
      <c r="AF258" s="92">
        <v>0.01</v>
      </c>
      <c r="AJ258" t="s">
        <v>93</v>
      </c>
      <c r="AK258" s="93">
        <v>0.01</v>
      </c>
      <c r="AL258" s="7"/>
      <c r="AM258" s="7"/>
      <c r="AO258" t="s">
        <v>225</v>
      </c>
      <c r="AP258" s="92">
        <v>0.01</v>
      </c>
      <c r="AU258" s="7" t="s">
        <v>0</v>
      </c>
      <c r="AV258" s="7" t="s">
        <v>1</v>
      </c>
      <c r="AW258" s="7" t="s">
        <v>2</v>
      </c>
      <c r="AZ258" s="7" t="s">
        <v>0</v>
      </c>
      <c r="BA258" s="7" t="s">
        <v>1</v>
      </c>
      <c r="BB258" s="7" t="s">
        <v>2</v>
      </c>
      <c r="BE258" s="7" t="s">
        <v>0</v>
      </c>
      <c r="BF258" s="7" t="s">
        <v>1</v>
      </c>
      <c r="BG258" s="7" t="s">
        <v>2</v>
      </c>
    </row>
    <row r="259" spans="1:62" ht="15" customHeight="1" x14ac:dyDescent="0.25">
      <c r="A259" s="342"/>
      <c r="B259" s="41" t="s">
        <v>100</v>
      </c>
      <c r="C259" s="43">
        <f t="array" ref="C259:C262">MMULT(O231:R234,E235:E238)</f>
        <v>3</v>
      </c>
      <c r="E259" s="46" t="s">
        <v>84</v>
      </c>
      <c r="F259" s="49">
        <f t="array" ref="F259:F264">MMULT(G259:L264,M259:M264)</f>
        <v>0</v>
      </c>
      <c r="G259" s="132">
        <f>CS_8!G5</f>
        <v>0</v>
      </c>
      <c r="H259" s="132">
        <f>CS_8!H5</f>
        <v>0</v>
      </c>
      <c r="I259" s="132">
        <f>CS_8!I5</f>
        <v>0</v>
      </c>
      <c r="J259" s="132">
        <f>CS_8!J5</f>
        <v>0</v>
      </c>
      <c r="K259" s="132">
        <f>CS_8!K5</f>
        <v>0</v>
      </c>
      <c r="L259" s="132">
        <f>CS_8!L5</f>
        <v>0</v>
      </c>
      <c r="M259" s="29">
        <f>C259</f>
        <v>3</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0.99995000041666526</v>
      </c>
      <c r="AK259" s="49">
        <v>0</v>
      </c>
      <c r="AL259" s="49">
        <f>-AJ261</f>
        <v>9.9998333341666645E-3</v>
      </c>
      <c r="AM259" s="49">
        <v>0</v>
      </c>
      <c r="AN259" s="80"/>
      <c r="AO259" s="49">
        <f>COS(AP258)</f>
        <v>0.99995000041666526</v>
      </c>
      <c r="AP259" s="49">
        <f>-AO260</f>
        <v>-9.9998333341666645E-3</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42"/>
      <c r="B260" s="41" t="s">
        <v>101</v>
      </c>
      <c r="C260" s="43">
        <v>-10</v>
      </c>
      <c r="E260" s="46" t="s">
        <v>112</v>
      </c>
      <c r="F260" s="49">
        <v>0</v>
      </c>
      <c r="G260" s="132">
        <f>CS_8!G6</f>
        <v>0</v>
      </c>
      <c r="H260" s="132">
        <f>CS_8!H6</f>
        <v>0</v>
      </c>
      <c r="I260" s="132">
        <f>CS_8!I6</f>
        <v>0</v>
      </c>
      <c r="J260" s="132">
        <f>CS_8!J6</f>
        <v>0</v>
      </c>
      <c r="K260" s="132">
        <f>CS_8!K6</f>
        <v>0</v>
      </c>
      <c r="L260" s="132">
        <f>CS_8!L6</f>
        <v>0</v>
      </c>
      <c r="M260" s="29">
        <f t="shared" ref="M260:M261" si="70">C260</f>
        <v>-10</v>
      </c>
      <c r="N260" s="46" t="s">
        <v>84</v>
      </c>
      <c r="O260" s="31">
        <f>AW259</f>
        <v>0</v>
      </c>
      <c r="P260" s="31">
        <f>BB259</f>
        <v>0</v>
      </c>
      <c r="Q260" s="31">
        <f>BG259</f>
        <v>0</v>
      </c>
      <c r="AB260" t="s">
        <v>71</v>
      </c>
      <c r="AC260" s="29">
        <f>C245</f>
        <v>0</v>
      </c>
      <c r="AD260" s="29"/>
      <c r="AE260" s="78">
        <v>0</v>
      </c>
      <c r="AF260" s="49">
        <f>COS(AF258)</f>
        <v>0.99995000041666526</v>
      </c>
      <c r="AG260" s="49">
        <f>-SIN(AF258)</f>
        <v>-9.9998333341666645E-3</v>
      </c>
      <c r="AH260" s="79">
        <v>0</v>
      </c>
      <c r="AI260" s="80"/>
      <c r="AJ260" s="49">
        <v>0</v>
      </c>
      <c r="AK260" s="49">
        <v>1</v>
      </c>
      <c r="AL260" s="49">
        <v>0</v>
      </c>
      <c r="AM260" s="49">
        <v>0</v>
      </c>
      <c r="AN260" s="80"/>
      <c r="AO260" s="49">
        <f>SIN(AP258)</f>
        <v>9.9998333341666645E-3</v>
      </c>
      <c r="AP260" s="49">
        <f>AO259</f>
        <v>0.99995000041666526</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42"/>
      <c r="B261" s="41" t="s">
        <v>102</v>
      </c>
      <c r="C261" s="43">
        <v>0</v>
      </c>
      <c r="E261" s="46" t="s">
        <v>113</v>
      </c>
      <c r="F261" s="49">
        <v>0</v>
      </c>
      <c r="G261" s="132">
        <f>CS_8!G7</f>
        <v>0</v>
      </c>
      <c r="H261" s="132">
        <f>CS_8!H7</f>
        <v>0</v>
      </c>
      <c r="I261" s="132">
        <f>CS_8!I7</f>
        <v>0</v>
      </c>
      <c r="J261" s="132">
        <f>CS_8!J7</f>
        <v>0</v>
      </c>
      <c r="K261" s="132">
        <f>CS_8!K7</f>
        <v>0</v>
      </c>
      <c r="L261" s="132">
        <f>CS_8!L7</f>
        <v>0</v>
      </c>
      <c r="M261" s="29">
        <f t="shared" si="70"/>
        <v>0</v>
      </c>
      <c r="N261" s="46" t="s">
        <v>112</v>
      </c>
      <c r="O261" s="31">
        <f t="shared" ref="O261:O262" si="71">AW260</f>
        <v>0</v>
      </c>
      <c r="P261" s="31">
        <f t="shared" ref="P261:P262" si="72">BB260</f>
        <v>0</v>
      </c>
      <c r="Q261" s="31">
        <f t="shared" ref="Q261:Q262" si="73">BG260</f>
        <v>0</v>
      </c>
      <c r="AB261" t="s">
        <v>72</v>
      </c>
      <c r="AC261" s="29">
        <f>C246</f>
        <v>0</v>
      </c>
      <c r="AD261" s="29"/>
      <c r="AE261" s="78">
        <v>0</v>
      </c>
      <c r="AF261" s="49">
        <f>-AG260</f>
        <v>9.9998333341666645E-3</v>
      </c>
      <c r="AG261" s="49">
        <f>AF260</f>
        <v>0.99995000041666526</v>
      </c>
      <c r="AH261" s="79">
        <v>0</v>
      </c>
      <c r="AI261" s="80"/>
      <c r="AJ261" s="49">
        <f>-SIN(AK258)</f>
        <v>-9.9998333341666645E-3</v>
      </c>
      <c r="AK261" s="49">
        <v>0</v>
      </c>
      <c r="AL261" s="49">
        <f>COS(AK258)</f>
        <v>0.99995000041666526</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42"/>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71"/>
        <v>0</v>
      </c>
      <c r="P262" s="31">
        <f t="shared" si="72"/>
        <v>0</v>
      </c>
      <c r="Q262" s="31">
        <f t="shared" si="73"/>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42"/>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42"/>
      <c r="B264" s="41" t="s">
        <v>104</v>
      </c>
      <c r="C264" s="43">
        <v>0</v>
      </c>
      <c r="E264" s="4" t="s">
        <v>87</v>
      </c>
      <c r="F264" s="49">
        <v>0</v>
      </c>
      <c r="G264" s="132">
        <f>CS_8!G10</f>
        <v>0</v>
      </c>
      <c r="H264" s="132">
        <f>CS_8!H10</f>
        <v>0</v>
      </c>
      <c r="I264" s="132">
        <f>CS_8!I10</f>
        <v>0</v>
      </c>
      <c r="J264" s="132">
        <f>CS_8!J10</f>
        <v>0</v>
      </c>
      <c r="K264" s="132">
        <f>CS_8!K10</f>
        <v>0</v>
      </c>
      <c r="L264" s="132">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42"/>
      <c r="B265" s="41" t="s">
        <v>105</v>
      </c>
      <c r="C265" s="43">
        <v>0</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42"/>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42"/>
      <c r="B267" s="77" t="s">
        <v>182</v>
      </c>
      <c r="C267"/>
      <c r="D267" s="90" t="s">
        <v>245</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42"/>
      <c r="B268" s="41" t="s">
        <v>100</v>
      </c>
      <c r="C268" s="42">
        <v>0</v>
      </c>
      <c r="D268" s="41" t="s">
        <v>100</v>
      </c>
      <c r="E268" s="43">
        <f>C259+C268</f>
        <v>3</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42"/>
      <c r="B269" s="41" t="s">
        <v>101</v>
      </c>
      <c r="C269" s="42">
        <v>0</v>
      </c>
      <c r="D269" s="41" t="s">
        <v>101</v>
      </c>
      <c r="E269" s="43">
        <f>C260+C269</f>
        <v>-10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42"/>
      <c r="B270" s="41" t="s">
        <v>102</v>
      </c>
      <c r="C270" s="42">
        <v>0</v>
      </c>
      <c r="D270" s="41" t="s">
        <v>102</v>
      </c>
      <c r="E270" s="43">
        <f>C261+C270</f>
        <v>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42"/>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42"/>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42"/>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42"/>
      <c r="B274" s="41" t="s">
        <v>105</v>
      </c>
      <c r="C274" s="42">
        <v>0</v>
      </c>
      <c r="D274" s="41" t="s">
        <v>105</v>
      </c>
      <c r="E274" s="43">
        <f>C265+C274+C260*C218-C259*C219</f>
        <v>0</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43"/>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38" t="s">
        <v>328</v>
      </c>
      <c r="B276" s="68" t="s">
        <v>249</v>
      </c>
      <c r="E276" s="1" t="s">
        <v>148</v>
      </c>
    </row>
    <row r="277" spans="1:44" ht="15" customHeight="1" x14ac:dyDescent="0.25">
      <c r="A277" s="338"/>
      <c r="B277" s="12" t="s">
        <v>73</v>
      </c>
      <c r="C277" s="56">
        <f>C255</f>
        <v>10</v>
      </c>
      <c r="E277" s="324" t="s">
        <v>138</v>
      </c>
      <c r="F277" s="324"/>
      <c r="G277" s="324" t="s">
        <v>139</v>
      </c>
      <c r="H277" s="324"/>
      <c r="N277" s="34" t="s">
        <v>98</v>
      </c>
      <c r="O277" s="1"/>
      <c r="P277" s="67"/>
      <c r="Q277" s="1"/>
      <c r="R277" s="1"/>
      <c r="S277" s="34" t="s">
        <v>136</v>
      </c>
      <c r="Y277" s="95" t="s">
        <v>297</v>
      </c>
    </row>
    <row r="278" spans="1:44" ht="15" customHeight="1" x14ac:dyDescent="0.25">
      <c r="A278" s="338"/>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38"/>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4.9999582834785253E-6</v>
      </c>
      <c r="R279" s="50">
        <f>ABS(F283*Q293)</f>
        <v>4.9999583334781085E-6</v>
      </c>
      <c r="S279" s="46" t="s">
        <v>84</v>
      </c>
      <c r="T279" s="49">
        <f t="array" ref="T279:W282">ABS(MMULT(T297:W300,O279:R282))</f>
        <v>5.0000000000000001E-3</v>
      </c>
      <c r="U279" s="49">
        <v>0</v>
      </c>
      <c r="V279" s="49">
        <v>4.9999582834785253E-6</v>
      </c>
      <c r="W279" s="49">
        <v>4.9999583334781085E-6</v>
      </c>
      <c r="X279" s="70" t="s">
        <v>84</v>
      </c>
      <c r="Y279" s="49">
        <f>F285+F292</f>
        <v>4.4209706414415371E-4</v>
      </c>
      <c r="Z279" s="29">
        <f>F288*O293</f>
        <v>0</v>
      </c>
      <c r="AA279" s="29">
        <f>F289*P293</f>
        <v>0</v>
      </c>
      <c r="AB279" s="29">
        <f>F290*Q293</f>
        <v>7.5701984041557269E-10</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74">ABS(F279)</f>
        <v>5.0000000000000001E-3</v>
      </c>
      <c r="P280" s="50">
        <f>ABS(F281*O294)</f>
        <v>0</v>
      </c>
      <c r="Q280" s="50">
        <f>ABS(F282*P294)</f>
        <v>0</v>
      </c>
      <c r="R280" s="50">
        <f>ABS(F283*Q294)</f>
        <v>9.9998333341666718E-4</v>
      </c>
      <c r="S280" s="46" t="s">
        <v>112</v>
      </c>
      <c r="T280" s="49">
        <v>5.0000000000000001E-3</v>
      </c>
      <c r="U280" s="49">
        <v>0</v>
      </c>
      <c r="V280" s="49">
        <v>0</v>
      </c>
      <c r="W280" s="49">
        <v>9.9998333341666718E-4</v>
      </c>
      <c r="X280" s="70" t="s">
        <v>112</v>
      </c>
      <c r="Y280" s="49">
        <f t="shared" ref="Y280:Y281" si="75">F286+F293</f>
        <v>-3.8639876352395671E-6</v>
      </c>
      <c r="Z280" s="29">
        <f>F288*O294</f>
        <v>0</v>
      </c>
      <c r="AA280" s="29">
        <f>F289*P294</f>
        <v>0</v>
      </c>
      <c r="AB280" s="29">
        <f>F290*Q294</f>
        <v>-1.5140270638109954E-7</v>
      </c>
    </row>
    <row r="281" spans="1:44" ht="15" customHeight="1" x14ac:dyDescent="0.25">
      <c r="A281" s="43">
        <f>IF(A280&gt;Naxes,0,1)</f>
        <v>0</v>
      </c>
      <c r="B281" s="2" t="s">
        <v>176</v>
      </c>
      <c r="C281" s="37">
        <v>0</v>
      </c>
      <c r="E281" s="4" t="s">
        <v>85</v>
      </c>
      <c r="F281" s="48">
        <f>CS_9!B48</f>
        <v>1.0000000000000007E-4</v>
      </c>
      <c r="G281" s="4" t="s">
        <v>85</v>
      </c>
      <c r="H281" s="48">
        <f>CS_9!B55</f>
        <v>0</v>
      </c>
      <c r="N281" s="46" t="s">
        <v>113</v>
      </c>
      <c r="O281" s="50">
        <f t="shared" si="74"/>
        <v>5.0000000000000001E-3</v>
      </c>
      <c r="P281" s="50">
        <f>ABS(F281*O295)</f>
        <v>0</v>
      </c>
      <c r="Q281" s="50">
        <f>ABS(F282*P295)</f>
        <v>9.9998332341683397E-4</v>
      </c>
      <c r="R281" s="50">
        <f>ABS(F283*Q295)</f>
        <v>0</v>
      </c>
      <c r="S281" s="46" t="s">
        <v>113</v>
      </c>
      <c r="T281" s="49">
        <v>5.0000000000000001E-3</v>
      </c>
      <c r="U281" s="49">
        <v>0</v>
      </c>
      <c r="V281" s="49">
        <v>9.9998332341683397E-4</v>
      </c>
      <c r="W281" s="49">
        <v>0</v>
      </c>
      <c r="X281" s="70" t="s">
        <v>113</v>
      </c>
      <c r="Y281" s="49">
        <f t="shared" si="75"/>
        <v>0</v>
      </c>
      <c r="Z281" s="29">
        <f>F288*O295</f>
        <v>0</v>
      </c>
      <c r="AA281" s="29">
        <f>F289*P295</f>
        <v>0</v>
      </c>
      <c r="AB281" s="29">
        <f>F290*Q295</f>
        <v>0</v>
      </c>
    </row>
    <row r="282" spans="1:44" ht="15" customHeight="1" x14ac:dyDescent="0.25">
      <c r="A282" s="336" t="s">
        <v>127</v>
      </c>
      <c r="B282" s="2" t="s">
        <v>178</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36"/>
      <c r="B283" s="2" t="s">
        <v>177</v>
      </c>
      <c r="C283" s="37">
        <v>0</v>
      </c>
      <c r="E283" s="4" t="s">
        <v>87</v>
      </c>
      <c r="F283" s="48">
        <f>CS_9!B50</f>
        <v>1.0000000000000007E-4</v>
      </c>
      <c r="G283" s="4" t="s">
        <v>87</v>
      </c>
      <c r="H283" s="48">
        <f>CS_9!B57</f>
        <v>0</v>
      </c>
      <c r="X283" s="6"/>
    </row>
    <row r="284" spans="1:44" ht="33" customHeight="1" x14ac:dyDescent="0.25">
      <c r="A284" s="336"/>
      <c r="B284" s="2" t="s">
        <v>244</v>
      </c>
      <c r="C284" s="37">
        <v>10</v>
      </c>
      <c r="E284" s="337" t="s">
        <v>303</v>
      </c>
      <c r="F284" s="337"/>
      <c r="G284" s="324" t="s">
        <v>250</v>
      </c>
      <c r="H284" s="324"/>
      <c r="I284" s="337" t="s">
        <v>306</v>
      </c>
      <c r="J284" s="337"/>
      <c r="K284" s="337" t="s">
        <v>304</v>
      </c>
      <c r="L284" s="337"/>
      <c r="N284" s="34" t="s">
        <v>99</v>
      </c>
      <c r="O284" s="1"/>
      <c r="P284" s="67"/>
      <c r="Q284" s="1"/>
      <c r="R284" s="1"/>
      <c r="S284" s="34" t="s">
        <v>137</v>
      </c>
      <c r="X284" s="6"/>
      <c r="Y284" s="95" t="s">
        <v>296</v>
      </c>
    </row>
    <row r="285" spans="1:44" ht="15" customHeight="1" x14ac:dyDescent="0.25">
      <c r="A285" s="336"/>
      <c r="B285" s="2" t="s">
        <v>77</v>
      </c>
      <c r="C285" s="38">
        <v>0</v>
      </c>
      <c r="E285" s="46" t="s">
        <v>84</v>
      </c>
      <c r="F285" s="49">
        <f>E301/IF(H285=0,1000000000000,H285)</f>
        <v>4.4209706414415371E-4</v>
      </c>
      <c r="G285" s="4" t="s">
        <v>117</v>
      </c>
      <c r="H285" s="29">
        <f>CS_9!B25</f>
        <v>6785.8401317539538</v>
      </c>
      <c r="I285" s="4" t="s">
        <v>85</v>
      </c>
      <c r="J285" s="49">
        <f>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39" t="s">
        <v>135</v>
      </c>
      <c r="B286" s="2" t="s">
        <v>107</v>
      </c>
      <c r="C286" s="37">
        <v>0</v>
      </c>
      <c r="E286" s="46" t="s">
        <v>112</v>
      </c>
      <c r="F286" s="49">
        <f t="shared" ref="F286:F287" si="76">E302/IF(H286=0,1000000000000,H286)</f>
        <v>-3.8639876352395671E-6</v>
      </c>
      <c r="G286" s="4" t="s">
        <v>118</v>
      </c>
      <c r="H286" s="29">
        <f>CS_9!B26</f>
        <v>2588000</v>
      </c>
      <c r="I286" s="4" t="s">
        <v>86</v>
      </c>
      <c r="J286" s="49">
        <f t="shared" ref="J286:J287" si="77">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4.4209706414415371E-4</v>
      </c>
      <c r="Z286" s="29">
        <f t="array" ref="Z286:Z289">MMULT(T297:W300,Z279:Z282)</f>
        <v>0</v>
      </c>
      <c r="AA286" s="29">
        <f t="array" ref="AA286:AA289">MMULT(T297:W300,AA279:AA282)</f>
        <v>0</v>
      </c>
      <c r="AB286" s="29">
        <f t="array" ref="AB286:AB289">MMULT(T297:W300,AB279:AB282)</f>
        <v>7.5701984041557269E-10</v>
      </c>
    </row>
    <row r="287" spans="1:44" ht="15" customHeight="1" x14ac:dyDescent="0.25">
      <c r="A287" s="339"/>
      <c r="B287" s="34" t="s">
        <v>78</v>
      </c>
      <c r="E287" s="46" t="s">
        <v>113</v>
      </c>
      <c r="F287" s="49">
        <f t="shared" si="76"/>
        <v>0</v>
      </c>
      <c r="G287" s="4" t="s">
        <v>119</v>
      </c>
      <c r="H287" s="29">
        <f>CS_9!B27</f>
        <v>2588000</v>
      </c>
      <c r="I287" s="4" t="s">
        <v>87</v>
      </c>
      <c r="J287" s="49">
        <f t="shared" si="77"/>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-3.8639876352395671E-6</v>
      </c>
      <c r="Z287" s="29">
        <v>0</v>
      </c>
      <c r="AA287" s="29">
        <v>0</v>
      </c>
      <c r="AB287" s="29">
        <v>-1.5140270638109954E-7</v>
      </c>
    </row>
    <row r="288" spans="1:44" ht="15" customHeight="1" x14ac:dyDescent="0.25">
      <c r="A288" s="339"/>
      <c r="B288" s="12" t="s">
        <v>79</v>
      </c>
      <c r="C288" s="31">
        <f>AC297+C284</f>
        <v>20</v>
      </c>
      <c r="E288" s="4" t="s">
        <v>85</v>
      </c>
      <c r="F288" s="49">
        <f>E305/IF(H288=0,1000000000000,H288)+L285</f>
        <v>0</v>
      </c>
      <c r="G288" s="46" t="s">
        <v>8</v>
      </c>
      <c r="H288" s="29">
        <f>CS_9!B29</f>
        <v>6874375000</v>
      </c>
      <c r="I288" s="4" t="s">
        <v>305</v>
      </c>
      <c r="J288" s="29">
        <v>1</v>
      </c>
      <c r="K288" s="4" t="s">
        <v>305</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0</v>
      </c>
      <c r="Z288" s="29">
        <v>0</v>
      </c>
      <c r="AA288" s="29">
        <v>0</v>
      </c>
      <c r="AB288" s="29">
        <v>0</v>
      </c>
    </row>
    <row r="289" spans="1:62" ht="15" customHeight="1" x14ac:dyDescent="0.25">
      <c r="A289" s="339"/>
      <c r="B289" s="12" t="s">
        <v>80</v>
      </c>
      <c r="C289" s="31">
        <f>AC298+C285</f>
        <v>0</v>
      </c>
      <c r="E289" s="4" t="s">
        <v>86</v>
      </c>
      <c r="F289" s="49">
        <f t="shared" ref="F289:F290" si="78">E306/IF(H289=0,1000000000000,H289)+L286</f>
        <v>0</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39"/>
      <c r="B290" s="12" t="s">
        <v>81</v>
      </c>
      <c r="C290" s="31">
        <f>AC299+C286</f>
        <v>0</v>
      </c>
      <c r="E290" s="4" t="s">
        <v>87</v>
      </c>
      <c r="F290" s="49">
        <f t="shared" si="78"/>
        <v>-1.5140522978897895E-8</v>
      </c>
      <c r="G290" s="46" t="s">
        <v>116</v>
      </c>
      <c r="H290" s="29">
        <f>CS_9!B31</f>
        <v>6604791666.666667</v>
      </c>
      <c r="AB290" s="5"/>
      <c r="AU290" s="5" t="s">
        <v>67</v>
      </c>
      <c r="AZ290" s="5" t="s">
        <v>92</v>
      </c>
      <c r="BE290" s="5" t="s">
        <v>97</v>
      </c>
      <c r="BJ290" s="5" t="s">
        <v>97</v>
      </c>
    </row>
    <row r="291" spans="1:62" ht="31.5" x14ac:dyDescent="0.25">
      <c r="A291" s="339"/>
      <c r="B291" s="69" t="s">
        <v>106</v>
      </c>
      <c r="E291" s="324" t="s">
        <v>294</v>
      </c>
      <c r="F291" s="344"/>
      <c r="G291" s="345" t="s">
        <v>293</v>
      </c>
      <c r="H291" s="346"/>
      <c r="I291" s="346"/>
      <c r="J291" s="346"/>
      <c r="K291" s="346"/>
      <c r="L291" s="347"/>
      <c r="M291" s="94" t="s">
        <v>295</v>
      </c>
      <c r="N291" s="85" t="s">
        <v>247</v>
      </c>
      <c r="AE291" t="s">
        <v>226</v>
      </c>
      <c r="AF291" s="92">
        <v>0.01</v>
      </c>
      <c r="AJ291" t="s">
        <v>93</v>
      </c>
      <c r="AK291" s="93">
        <v>0.01</v>
      </c>
      <c r="AL291" s="7"/>
      <c r="AM291" s="7"/>
      <c r="AO291" t="s">
        <v>225</v>
      </c>
      <c r="AP291" s="92">
        <v>0.01</v>
      </c>
      <c r="AU291" s="7" t="s">
        <v>0</v>
      </c>
      <c r="AV291" s="7" t="s">
        <v>1</v>
      </c>
      <c r="AW291" s="7" t="s">
        <v>2</v>
      </c>
      <c r="AZ291" s="7" t="s">
        <v>0</v>
      </c>
      <c r="BA291" s="7" t="s">
        <v>1</v>
      </c>
      <c r="BB291" s="7" t="s">
        <v>2</v>
      </c>
      <c r="BE291" s="7" t="s">
        <v>0</v>
      </c>
      <c r="BF291" s="7" t="s">
        <v>1</v>
      </c>
      <c r="BG291" s="7" t="s">
        <v>2</v>
      </c>
    </row>
    <row r="292" spans="1:62" ht="15" customHeight="1" x14ac:dyDescent="0.25">
      <c r="A292" s="339"/>
      <c r="B292" s="41" t="s">
        <v>100</v>
      </c>
      <c r="C292" s="43">
        <f t="array" ref="C292:C295">MMULT(O264:R267,E268:E271)</f>
        <v>3</v>
      </c>
      <c r="E292" s="46" t="s">
        <v>84</v>
      </c>
      <c r="F292" s="49">
        <f t="array" ref="F292:F297">MMULT(G292:L297,M292:M297)</f>
        <v>0</v>
      </c>
      <c r="G292" s="132">
        <f>CS_9!G5</f>
        <v>0</v>
      </c>
      <c r="H292" s="132">
        <f>CS_9!H5</f>
        <v>0</v>
      </c>
      <c r="I292" s="132">
        <f>CS_9!I5</f>
        <v>0</v>
      </c>
      <c r="J292" s="132">
        <f>CS_9!J5</f>
        <v>0</v>
      </c>
      <c r="K292" s="132">
        <f>CS_9!K5</f>
        <v>0</v>
      </c>
      <c r="L292" s="132">
        <f>CS_9!L5</f>
        <v>0</v>
      </c>
      <c r="M292" s="29">
        <f>C292</f>
        <v>3</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0.99995000041666526</v>
      </c>
      <c r="AK292" s="49">
        <v>0</v>
      </c>
      <c r="AL292" s="49">
        <f>-AJ294</f>
        <v>9.9998333341666645E-3</v>
      </c>
      <c r="AM292" s="49">
        <v>0</v>
      </c>
      <c r="AN292" s="80"/>
      <c r="AO292" s="49">
        <f>COS(AP291)</f>
        <v>0.99995000041666526</v>
      </c>
      <c r="AP292" s="49">
        <f>-AO293</f>
        <v>-9.9998333341666645E-3</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9.9995000041666522</v>
      </c>
      <c r="BA292" s="49">
        <f>AZ292-$AC292</f>
        <v>-4.999958333478105E-4</v>
      </c>
      <c r="BB292" s="49">
        <f>BA292/AK291</f>
        <v>-4.999958333478105E-2</v>
      </c>
      <c r="BC292" s="80"/>
      <c r="BD292" s="29" t="s">
        <v>63</v>
      </c>
      <c r="BE292" s="49">
        <f t="array" ref="BE292:BE295">MMULT(AO292:AR295,$AC292:$AC295)</f>
        <v>9.9995000041666522</v>
      </c>
      <c r="BF292" s="49">
        <f>BE292-$AC292</f>
        <v>-4.999958333478105E-4</v>
      </c>
      <c r="BG292" s="49">
        <f>BF292/AP291</f>
        <v>-4.999958333478105E-2</v>
      </c>
    </row>
    <row r="293" spans="1:62" x14ac:dyDescent="0.25">
      <c r="A293" s="339"/>
      <c r="B293" s="41" t="s">
        <v>101</v>
      </c>
      <c r="C293" s="43">
        <v>-10</v>
      </c>
      <c r="E293" s="46" t="s">
        <v>112</v>
      </c>
      <c r="F293" s="49">
        <v>0</v>
      </c>
      <c r="G293" s="132">
        <f>CS_9!G6</f>
        <v>0</v>
      </c>
      <c r="H293" s="132">
        <f>CS_9!H6</f>
        <v>0</v>
      </c>
      <c r="I293" s="132">
        <f>CS_9!I6</f>
        <v>0</v>
      </c>
      <c r="J293" s="132">
        <f>CS_9!J6</f>
        <v>0</v>
      </c>
      <c r="K293" s="132">
        <f>CS_9!K6</f>
        <v>0</v>
      </c>
      <c r="L293" s="132">
        <f>CS_9!L6</f>
        <v>0</v>
      </c>
      <c r="M293" s="29">
        <f t="shared" ref="M293:M294" si="79">C293</f>
        <v>-10</v>
      </c>
      <c r="N293" s="46" t="s">
        <v>84</v>
      </c>
      <c r="O293" s="31">
        <f>AW292</f>
        <v>0</v>
      </c>
      <c r="P293" s="31">
        <f>BB292</f>
        <v>-4.999958333478105E-2</v>
      </c>
      <c r="Q293" s="31">
        <f>BG292</f>
        <v>-4.999958333478105E-2</v>
      </c>
      <c r="AB293" t="s">
        <v>71</v>
      </c>
      <c r="AC293" s="29">
        <f>C278</f>
        <v>0</v>
      </c>
      <c r="AD293" s="29"/>
      <c r="AE293" s="78">
        <v>0</v>
      </c>
      <c r="AF293" s="49">
        <f>COS(AF291)</f>
        <v>0.99995000041666526</v>
      </c>
      <c r="AG293" s="49">
        <f>-SIN(AF291)</f>
        <v>-9.9998333341666645E-3</v>
      </c>
      <c r="AH293" s="79">
        <v>0</v>
      </c>
      <c r="AI293" s="80"/>
      <c r="AJ293" s="49">
        <v>0</v>
      </c>
      <c r="AK293" s="49">
        <v>1</v>
      </c>
      <c r="AL293" s="49">
        <v>0</v>
      </c>
      <c r="AM293" s="49">
        <v>0</v>
      </c>
      <c r="AN293" s="80"/>
      <c r="AO293" s="49">
        <f>SIN(AP291)</f>
        <v>9.9998333341666645E-3</v>
      </c>
      <c r="AP293" s="49">
        <f>AO292</f>
        <v>0.99995000041666526</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9.9998333341666648E-2</v>
      </c>
      <c r="BF293" s="49">
        <f>BE293-$AC293</f>
        <v>9.9998333341666648E-2</v>
      </c>
      <c r="BG293" s="49">
        <f>BF293/AP291</f>
        <v>9.9998333341666648</v>
      </c>
    </row>
    <row r="294" spans="1:62" x14ac:dyDescent="0.25">
      <c r="A294" s="339"/>
      <c r="B294" s="41" t="s">
        <v>102</v>
      </c>
      <c r="C294" s="43">
        <v>0</v>
      </c>
      <c r="E294" s="46" t="s">
        <v>113</v>
      </c>
      <c r="F294" s="49">
        <v>0</v>
      </c>
      <c r="G294" s="132">
        <f>CS_9!G7</f>
        <v>0</v>
      </c>
      <c r="H294" s="132">
        <f>CS_9!H7</f>
        <v>0</v>
      </c>
      <c r="I294" s="132">
        <f>CS_9!I7</f>
        <v>0</v>
      </c>
      <c r="J294" s="132">
        <f>CS_9!J7</f>
        <v>0</v>
      </c>
      <c r="K294" s="132">
        <f>CS_9!K7</f>
        <v>0</v>
      </c>
      <c r="L294" s="132">
        <f>CS_9!L7</f>
        <v>0</v>
      </c>
      <c r="M294" s="29">
        <f t="shared" si="79"/>
        <v>0</v>
      </c>
      <c r="N294" s="46" t="s">
        <v>112</v>
      </c>
      <c r="O294" s="31">
        <f t="shared" ref="O294:O295" si="80">AW293</f>
        <v>0</v>
      </c>
      <c r="P294" s="31">
        <f t="shared" ref="P294:P295" si="81">BB293</f>
        <v>0</v>
      </c>
      <c r="Q294" s="31">
        <f t="shared" ref="Q294:Q295" si="82">BG293</f>
        <v>9.9998333341666648</v>
      </c>
      <c r="AB294" t="s">
        <v>72</v>
      </c>
      <c r="AC294" s="29">
        <f>C279</f>
        <v>0</v>
      </c>
      <c r="AD294" s="29"/>
      <c r="AE294" s="78">
        <v>0</v>
      </c>
      <c r="AF294" s="49">
        <f>-AG293</f>
        <v>9.9998333341666645E-3</v>
      </c>
      <c r="AG294" s="49">
        <f>AF293</f>
        <v>0.99995000041666526</v>
      </c>
      <c r="AH294" s="79">
        <v>0</v>
      </c>
      <c r="AI294" s="80"/>
      <c r="AJ294" s="49">
        <f>-SIN(AK291)</f>
        <v>-9.9998333341666645E-3</v>
      </c>
      <c r="AK294" s="49">
        <v>0</v>
      </c>
      <c r="AL294" s="49">
        <f>COS(AK291)</f>
        <v>0.99995000041666526</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-9.9998333341666648E-2</v>
      </c>
      <c r="BA294" s="49">
        <f>AZ294-$AC294</f>
        <v>-9.9998333341666648E-2</v>
      </c>
      <c r="BB294" s="49">
        <f>BA294/AK291</f>
        <v>-9.9998333341666648</v>
      </c>
      <c r="BC294" s="80"/>
      <c r="BD294" s="29" t="s">
        <v>65</v>
      </c>
      <c r="BE294" s="49">
        <v>0</v>
      </c>
      <c r="BF294" s="49">
        <f>BE294-$AC294</f>
        <v>0</v>
      </c>
      <c r="BG294" s="49">
        <f>BF294/AP291</f>
        <v>0</v>
      </c>
    </row>
    <row r="295" spans="1:62" ht="15" customHeight="1" x14ac:dyDescent="0.25">
      <c r="A295" s="339"/>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80"/>
        <v>0</v>
      </c>
      <c r="P295" s="31">
        <f t="shared" si="81"/>
        <v>-9.9998333341666648</v>
      </c>
      <c r="Q295" s="31">
        <f t="shared" si="82"/>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39"/>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39"/>
      <c r="B297" s="41" t="s">
        <v>104</v>
      </c>
      <c r="C297" s="43">
        <v>0</v>
      </c>
      <c r="E297" s="4" t="s">
        <v>87</v>
      </c>
      <c r="F297" s="49">
        <v>0</v>
      </c>
      <c r="G297" s="132">
        <f>CS_9!G10</f>
        <v>0</v>
      </c>
      <c r="H297" s="132">
        <f>CS_9!H10</f>
        <v>0</v>
      </c>
      <c r="I297" s="132">
        <f>CS_9!I10</f>
        <v>0</v>
      </c>
      <c r="J297" s="132">
        <f>CS_9!J10</f>
        <v>0</v>
      </c>
      <c r="K297" s="132">
        <f>CS_9!K10</f>
        <v>0</v>
      </c>
      <c r="L297" s="132">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39"/>
      <c r="B298" s="41" t="s">
        <v>105</v>
      </c>
      <c r="C298" s="43">
        <v>0</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39"/>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40"/>
      <c r="B300" s="77" t="s">
        <v>182</v>
      </c>
      <c r="C300"/>
      <c r="D300" s="90" t="s">
        <v>245</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3</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-10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-100</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6"/>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38" t="s">
        <v>329</v>
      </c>
      <c r="B309" s="68" t="s">
        <v>249</v>
      </c>
      <c r="E309" s="1" t="s">
        <v>149</v>
      </c>
    </row>
    <row r="310" spans="1:44" ht="15" customHeight="1" x14ac:dyDescent="0.25">
      <c r="A310" s="338"/>
      <c r="B310" s="12" t="s">
        <v>73</v>
      </c>
      <c r="C310" s="56">
        <f>C288</f>
        <v>20</v>
      </c>
      <c r="E310" s="324" t="s">
        <v>138</v>
      </c>
      <c r="F310" s="324"/>
      <c r="G310" s="324" t="s">
        <v>139</v>
      </c>
      <c r="H310" s="324"/>
      <c r="N310" s="34" t="s">
        <v>98</v>
      </c>
      <c r="O310" s="1"/>
      <c r="P310" s="67"/>
      <c r="Q310" s="1"/>
      <c r="R310" s="1"/>
      <c r="S310" s="34" t="s">
        <v>136</v>
      </c>
      <c r="Y310" s="95" t="s">
        <v>297</v>
      </c>
    </row>
    <row r="311" spans="1:44" ht="15" customHeight="1" x14ac:dyDescent="0.25">
      <c r="A311" s="338"/>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38"/>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9.9999165669570506E-6</v>
      </c>
      <c r="R312" s="50">
        <f>ABS(F316*Q326)</f>
        <v>9.999916666956217E-6</v>
      </c>
      <c r="S312" s="46" t="s">
        <v>84</v>
      </c>
      <c r="T312" s="49">
        <f t="array" ref="T312:W315">ABS(MMULT(T330:W333,O312:R315))</f>
        <v>5.0000000000000001E-3</v>
      </c>
      <c r="U312" s="49">
        <v>0</v>
      </c>
      <c r="V312" s="49">
        <v>9.9999165669570506E-6</v>
      </c>
      <c r="W312" s="49">
        <v>9.999916666956217E-6</v>
      </c>
      <c r="X312" s="70" t="s">
        <v>84</v>
      </c>
      <c r="Y312" s="49">
        <f>F318+F325</f>
        <v>4.4209706414415371E-4</v>
      </c>
      <c r="Z312" s="29">
        <f>F321*O326</f>
        <v>0</v>
      </c>
      <c r="AA312" s="29">
        <f>F322*P326</f>
        <v>0</v>
      </c>
      <c r="AB312" s="29">
        <f>F323*Q326</f>
        <v>3.0280793616622908E-9</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83">ABS(F312)</f>
        <v>5.0000000000000001E-3</v>
      </c>
      <c r="P313" s="50">
        <f>ABS(F314*O327)</f>
        <v>0</v>
      </c>
      <c r="Q313" s="50">
        <f>ABS(F315*P327)</f>
        <v>0</v>
      </c>
      <c r="R313" s="50">
        <f>ABS(F316*Q327)</f>
        <v>1.9999666668333344E-3</v>
      </c>
      <c r="S313" s="46" t="s">
        <v>112</v>
      </c>
      <c r="T313" s="49">
        <v>5.0000000000000001E-3</v>
      </c>
      <c r="U313" s="49">
        <v>0</v>
      </c>
      <c r="V313" s="49">
        <v>0</v>
      </c>
      <c r="W313" s="49">
        <v>1.9999666668333344E-3</v>
      </c>
      <c r="X313" s="70" t="s">
        <v>112</v>
      </c>
      <c r="Y313" s="49">
        <f t="shared" ref="Y313:Y314" si="84">F319+F326</f>
        <v>-3.8639876352395671E-6</v>
      </c>
      <c r="Z313" s="29">
        <f>F321*O327</f>
        <v>0</v>
      </c>
      <c r="AA313" s="29">
        <f>F322*P327</f>
        <v>0</v>
      </c>
      <c r="AB313" s="29">
        <f>F323*Q327</f>
        <v>-6.0561082552439816E-7</v>
      </c>
    </row>
    <row r="314" spans="1:44" ht="15" customHeight="1" x14ac:dyDescent="0.25">
      <c r="A314" s="43">
        <f>IF(A313&gt;Naxes,0,1)</f>
        <v>0</v>
      </c>
      <c r="B314" s="2" t="s">
        <v>176</v>
      </c>
      <c r="C314" s="37">
        <v>0</v>
      </c>
      <c r="E314" s="4" t="s">
        <v>85</v>
      </c>
      <c r="F314" s="48">
        <f>CS_10!B48</f>
        <v>1.0000000000000007E-4</v>
      </c>
      <c r="G314" s="4" t="s">
        <v>85</v>
      </c>
      <c r="H314" s="48">
        <f>CS_10!B55</f>
        <v>0</v>
      </c>
      <c r="N314" s="46" t="s">
        <v>113</v>
      </c>
      <c r="O314" s="50">
        <f t="shared" si="83"/>
        <v>5.0000000000000001E-3</v>
      </c>
      <c r="P314" s="50">
        <f>ABS(F314*O328)</f>
        <v>0</v>
      </c>
      <c r="Q314" s="50">
        <f>ABS(F315*P328)</f>
        <v>1.9999666468336679E-3</v>
      </c>
      <c r="R314" s="50">
        <f>ABS(F316*Q328)</f>
        <v>0</v>
      </c>
      <c r="S314" s="46" t="s">
        <v>113</v>
      </c>
      <c r="T314" s="49">
        <v>5.0000000000000001E-3</v>
      </c>
      <c r="U314" s="49">
        <v>0</v>
      </c>
      <c r="V314" s="49">
        <v>1.9999666468336679E-3</v>
      </c>
      <c r="W314" s="49">
        <v>0</v>
      </c>
      <c r="X314" s="70" t="s">
        <v>113</v>
      </c>
      <c r="Y314" s="49">
        <f t="shared" si="84"/>
        <v>0</v>
      </c>
      <c r="Z314" s="29">
        <f>F321*O328</f>
        <v>0</v>
      </c>
      <c r="AA314" s="29">
        <f>F322*P328</f>
        <v>0</v>
      </c>
      <c r="AB314" s="29">
        <f>F323*Q328</f>
        <v>0</v>
      </c>
    </row>
    <row r="315" spans="1:44" ht="15" customHeight="1" x14ac:dyDescent="0.25">
      <c r="A315" s="336" t="s">
        <v>127</v>
      </c>
      <c r="B315" s="2" t="s">
        <v>178</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36"/>
      <c r="B316" s="2" t="s">
        <v>177</v>
      </c>
      <c r="C316" s="37">
        <v>0</v>
      </c>
      <c r="E316" s="4" t="s">
        <v>87</v>
      </c>
      <c r="F316" s="48">
        <f>CS_10!B50</f>
        <v>1.0000000000000007E-4</v>
      </c>
      <c r="G316" s="4" t="s">
        <v>87</v>
      </c>
      <c r="H316" s="48">
        <f>CS_10!B57</f>
        <v>0</v>
      </c>
      <c r="X316" s="6"/>
    </row>
    <row r="317" spans="1:44" ht="15" customHeight="1" x14ac:dyDescent="0.25">
      <c r="A317" s="336"/>
      <c r="B317" s="2" t="s">
        <v>244</v>
      </c>
      <c r="C317" s="37">
        <v>10</v>
      </c>
      <c r="E317" s="324" t="s">
        <v>246</v>
      </c>
      <c r="F317" s="324"/>
      <c r="G317" s="324" t="s">
        <v>250</v>
      </c>
      <c r="H317" s="324"/>
      <c r="N317" s="34" t="s">
        <v>99</v>
      </c>
      <c r="O317" s="1"/>
      <c r="P317" s="67"/>
      <c r="Q317" s="1"/>
      <c r="R317" s="1"/>
      <c r="S317" s="34" t="s">
        <v>137</v>
      </c>
      <c r="X317" s="6"/>
      <c r="Y317" s="95" t="s">
        <v>296</v>
      </c>
    </row>
    <row r="318" spans="1:44" ht="15" customHeight="1" x14ac:dyDescent="0.25">
      <c r="A318" s="336"/>
      <c r="B318" s="2" t="s">
        <v>77</v>
      </c>
      <c r="C318" s="38">
        <v>0</v>
      </c>
      <c r="E318" s="46" t="s">
        <v>84</v>
      </c>
      <c r="F318" s="49">
        <f>E334/IF(H318=0,1000000000000,H318)</f>
        <v>4.4209706414415371E-4</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41" t="s">
        <v>134</v>
      </c>
      <c r="B319" s="2" t="s">
        <v>107</v>
      </c>
      <c r="C319" s="37">
        <v>0</v>
      </c>
      <c r="E319" s="46" t="s">
        <v>112</v>
      </c>
      <c r="F319" s="49">
        <f t="shared" ref="F319:F320" si="85">E335/IF(H319=0,1000000000000,H319)</f>
        <v>-3.8639876352395671E-6</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4.4209706414415371E-4</v>
      </c>
      <c r="Z319" s="29">
        <f t="array" ref="Z319:Z322">MMULT(T330:W333,Z312:Z315)</f>
        <v>0</v>
      </c>
      <c r="AA319" s="29">
        <f t="array" ref="AA319:AA322">MMULT(T330:W333,AA312:AA315)</f>
        <v>0</v>
      </c>
      <c r="AB319" s="29">
        <f t="array" ref="AB319:AB322">MMULT(T330:W333,AB312:AB315)</f>
        <v>3.0280793616622908E-9</v>
      </c>
    </row>
    <row r="320" spans="1:44" ht="15" customHeight="1" x14ac:dyDescent="0.25">
      <c r="A320" s="342"/>
      <c r="B320" s="34" t="s">
        <v>78</v>
      </c>
      <c r="E320" s="46" t="s">
        <v>113</v>
      </c>
      <c r="F320" s="49">
        <f t="shared" si="85"/>
        <v>0</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-3.8639876352395671E-6</v>
      </c>
      <c r="Z320" s="29">
        <v>0</v>
      </c>
      <c r="AA320" s="29">
        <v>0</v>
      </c>
      <c r="AB320" s="29">
        <v>-6.0561082552439816E-7</v>
      </c>
    </row>
    <row r="321" spans="1:62" ht="15" customHeight="1" x14ac:dyDescent="0.25">
      <c r="A321" s="342"/>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0</v>
      </c>
      <c r="Z321" s="29">
        <v>0</v>
      </c>
      <c r="AA321" s="29">
        <v>0</v>
      </c>
      <c r="AB321" s="29">
        <v>0</v>
      </c>
    </row>
    <row r="322" spans="1:62" ht="15" customHeight="1" x14ac:dyDescent="0.25">
      <c r="A322" s="342"/>
      <c r="B322" s="12" t="s">
        <v>80</v>
      </c>
      <c r="C322" s="31">
        <f>AC331+C318</f>
        <v>0</v>
      </c>
      <c r="E322" s="4" t="s">
        <v>86</v>
      </c>
      <c r="F322" s="49">
        <f t="shared" ref="F322:F323" si="86">E339/IF(H322=0,1000000000000,H322)</f>
        <v>0</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42"/>
      <c r="B323" s="12" t="s">
        <v>81</v>
      </c>
      <c r="C323" s="31">
        <f>AC332+C319</f>
        <v>0</v>
      </c>
      <c r="E323" s="4" t="s">
        <v>87</v>
      </c>
      <c r="F323" s="49">
        <f t="shared" si="86"/>
        <v>-3.0281045957795789E-8</v>
      </c>
      <c r="G323" s="46" t="s">
        <v>116</v>
      </c>
      <c r="H323" s="29">
        <f>CS_10!B31</f>
        <v>6604791666.666667</v>
      </c>
      <c r="AB323" s="5"/>
      <c r="AU323" s="5" t="s">
        <v>67</v>
      </c>
      <c r="AZ323" s="5" t="s">
        <v>92</v>
      </c>
      <c r="BE323" s="5" t="s">
        <v>97</v>
      </c>
      <c r="BJ323" s="5" t="s">
        <v>97</v>
      </c>
    </row>
    <row r="324" spans="1:62" ht="31.5" x14ac:dyDescent="0.25">
      <c r="A324" s="342"/>
      <c r="B324" s="69" t="s">
        <v>106</v>
      </c>
      <c r="E324" s="324" t="s">
        <v>294</v>
      </c>
      <c r="F324" s="344"/>
      <c r="G324" s="345" t="s">
        <v>293</v>
      </c>
      <c r="H324" s="346"/>
      <c r="I324" s="346"/>
      <c r="J324" s="346"/>
      <c r="K324" s="346"/>
      <c r="L324" s="347"/>
      <c r="M324" s="94" t="s">
        <v>295</v>
      </c>
      <c r="N324" s="85" t="s">
        <v>247</v>
      </c>
      <c r="AE324" t="s">
        <v>226</v>
      </c>
      <c r="AF324" s="92">
        <v>0.01</v>
      </c>
      <c r="AJ324" t="s">
        <v>93</v>
      </c>
      <c r="AK324" s="93">
        <v>0.01</v>
      </c>
      <c r="AL324" s="7"/>
      <c r="AM324" s="7"/>
      <c r="AO324" t="s">
        <v>225</v>
      </c>
      <c r="AP324" s="92">
        <v>0.01</v>
      </c>
      <c r="AU324" s="7" t="s">
        <v>0</v>
      </c>
      <c r="AV324" s="7" t="s">
        <v>1</v>
      </c>
      <c r="AW324" s="7" t="s">
        <v>2</v>
      </c>
      <c r="AZ324" s="7" t="s">
        <v>0</v>
      </c>
      <c r="BA324" s="7" t="s">
        <v>1</v>
      </c>
      <c r="BB324" s="7" t="s">
        <v>2</v>
      </c>
      <c r="BE324" s="7" t="s">
        <v>0</v>
      </c>
      <c r="BF324" s="7" t="s">
        <v>1</v>
      </c>
      <c r="BG324" s="7" t="s">
        <v>2</v>
      </c>
    </row>
    <row r="325" spans="1:62" ht="15" customHeight="1" x14ac:dyDescent="0.25">
      <c r="A325" s="342"/>
      <c r="B325" s="41" t="s">
        <v>100</v>
      </c>
      <c r="C325" s="43">
        <f t="array" ref="C325:C328">MMULT(O297:R300,E301:E304)</f>
        <v>3</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3</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0.99995000041666526</v>
      </c>
      <c r="AK325" s="49">
        <v>0</v>
      </c>
      <c r="AL325" s="49">
        <f>-AJ327</f>
        <v>9.9998333341666645E-3</v>
      </c>
      <c r="AM325" s="49">
        <v>0</v>
      </c>
      <c r="AN325" s="80"/>
      <c r="AO325" s="49">
        <f>COS(AP324)</f>
        <v>0.99995000041666526</v>
      </c>
      <c r="AP325" s="49">
        <f>-AO326</f>
        <v>-9.9998333341666645E-3</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19.999000008333304</v>
      </c>
      <c r="BA325" s="49">
        <f>AZ325-$AC325</f>
        <v>-9.9999166669562101E-4</v>
      </c>
      <c r="BB325" s="49">
        <f>BA325/AK324</f>
        <v>-9.9999166669562101E-2</v>
      </c>
      <c r="BC325" s="80"/>
      <c r="BD325" s="29" t="s">
        <v>63</v>
      </c>
      <c r="BE325" s="49">
        <f t="array" ref="BE325:BE328">MMULT(AO325:AR328,$AC325:$AC328)</f>
        <v>19.999000008333304</v>
      </c>
      <c r="BF325" s="49">
        <f>BE325-$AC325</f>
        <v>-9.9999166669562101E-4</v>
      </c>
      <c r="BG325" s="49">
        <f>BF325/AP324</f>
        <v>-9.9999166669562101E-2</v>
      </c>
    </row>
    <row r="326" spans="1:62" x14ac:dyDescent="0.25">
      <c r="A326" s="342"/>
      <c r="B326" s="41" t="s">
        <v>101</v>
      </c>
      <c r="C326" s="43">
        <v>-10</v>
      </c>
      <c r="E326" s="46" t="s">
        <v>112</v>
      </c>
      <c r="F326" s="49">
        <v>0</v>
      </c>
      <c r="G326" s="132">
        <f>CS_10!G6</f>
        <v>0</v>
      </c>
      <c r="H326" s="132">
        <f>CS_10!H6</f>
        <v>0</v>
      </c>
      <c r="I326" s="132">
        <f>CS_10!I6</f>
        <v>0</v>
      </c>
      <c r="J326" s="132">
        <f>CS_10!J6</f>
        <v>0</v>
      </c>
      <c r="K326" s="132">
        <f>CS_10!K6</f>
        <v>0</v>
      </c>
      <c r="L326" s="132">
        <f>CS_10!L6</f>
        <v>0</v>
      </c>
      <c r="M326" s="29">
        <f t="shared" ref="M326:M327" si="87">C326</f>
        <v>-10</v>
      </c>
      <c r="N326" s="46" t="s">
        <v>84</v>
      </c>
      <c r="O326" s="31">
        <f>AW325</f>
        <v>0</v>
      </c>
      <c r="P326" s="31">
        <f>BB325</f>
        <v>-9.9999166669562101E-2</v>
      </c>
      <c r="Q326" s="31">
        <f>BG325</f>
        <v>-9.9999166669562101E-2</v>
      </c>
      <c r="AB326" t="s">
        <v>71</v>
      </c>
      <c r="AC326" s="29">
        <f>C311</f>
        <v>0</v>
      </c>
      <c r="AD326" s="29"/>
      <c r="AE326" s="78">
        <v>0</v>
      </c>
      <c r="AF326" s="49">
        <f>COS(AF324)</f>
        <v>0.99995000041666526</v>
      </c>
      <c r="AG326" s="49">
        <f>-SIN(AF324)</f>
        <v>-9.9998333341666645E-3</v>
      </c>
      <c r="AH326" s="79">
        <v>0</v>
      </c>
      <c r="AI326" s="80"/>
      <c r="AJ326" s="49">
        <v>0</v>
      </c>
      <c r="AK326" s="49">
        <v>1</v>
      </c>
      <c r="AL326" s="49">
        <v>0</v>
      </c>
      <c r="AM326" s="49">
        <v>0</v>
      </c>
      <c r="AN326" s="80"/>
      <c r="AO326" s="49">
        <f>SIN(AP324)</f>
        <v>9.9998333341666645E-3</v>
      </c>
      <c r="AP326" s="49">
        <f>AO325</f>
        <v>0.99995000041666526</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0.1999966666833333</v>
      </c>
      <c r="BF326" s="49">
        <f>BE326-$AC326</f>
        <v>0.1999966666833333</v>
      </c>
      <c r="BG326" s="49">
        <f>BF326/AP324</f>
        <v>19.99966666833333</v>
      </c>
    </row>
    <row r="327" spans="1:62" x14ac:dyDescent="0.25">
      <c r="A327" s="342"/>
      <c r="B327" s="41" t="s">
        <v>102</v>
      </c>
      <c r="C327" s="43">
        <v>0</v>
      </c>
      <c r="E327" s="46" t="s">
        <v>113</v>
      </c>
      <c r="F327" s="49">
        <v>0</v>
      </c>
      <c r="G327" s="132">
        <f>CS_10!G7</f>
        <v>0</v>
      </c>
      <c r="H327" s="132">
        <f>CS_10!H7</f>
        <v>0</v>
      </c>
      <c r="I327" s="132">
        <f>CS_10!I7</f>
        <v>0</v>
      </c>
      <c r="J327" s="132">
        <f>CS_10!J7</f>
        <v>0</v>
      </c>
      <c r="K327" s="132">
        <f>CS_10!K7</f>
        <v>0</v>
      </c>
      <c r="L327" s="132">
        <f>CS_10!L7</f>
        <v>0</v>
      </c>
      <c r="M327" s="29">
        <f t="shared" si="87"/>
        <v>0</v>
      </c>
      <c r="N327" s="46" t="s">
        <v>112</v>
      </c>
      <c r="O327" s="31">
        <f t="shared" ref="O327:O328" si="88">AW326</f>
        <v>0</v>
      </c>
      <c r="P327" s="31">
        <f t="shared" ref="P327:P328" si="89">BB326</f>
        <v>0</v>
      </c>
      <c r="Q327" s="31">
        <f t="shared" ref="Q327:Q328" si="90">BG326</f>
        <v>19.99966666833333</v>
      </c>
      <c r="AB327" t="s">
        <v>72</v>
      </c>
      <c r="AC327" s="29">
        <f>C312</f>
        <v>0</v>
      </c>
      <c r="AD327" s="29"/>
      <c r="AE327" s="78">
        <v>0</v>
      </c>
      <c r="AF327" s="49">
        <f>-AG326</f>
        <v>9.9998333341666645E-3</v>
      </c>
      <c r="AG327" s="49">
        <f>AF326</f>
        <v>0.99995000041666526</v>
      </c>
      <c r="AH327" s="79">
        <v>0</v>
      </c>
      <c r="AI327" s="80"/>
      <c r="AJ327" s="49">
        <f>-SIN(AK324)</f>
        <v>-9.9998333341666645E-3</v>
      </c>
      <c r="AK327" s="49">
        <v>0</v>
      </c>
      <c r="AL327" s="49">
        <f>COS(AK324)</f>
        <v>0.99995000041666526</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-0.1999966666833333</v>
      </c>
      <c r="BA327" s="49">
        <f>AZ327-$AC327</f>
        <v>-0.1999966666833333</v>
      </c>
      <c r="BB327" s="49">
        <f>BA327/AK324</f>
        <v>-19.99966666833333</v>
      </c>
      <c r="BC327" s="80"/>
      <c r="BD327" s="29" t="s">
        <v>65</v>
      </c>
      <c r="BE327" s="49">
        <v>0</v>
      </c>
      <c r="BF327" s="49">
        <f>BE327-$AC327</f>
        <v>0</v>
      </c>
      <c r="BG327" s="49">
        <f>BF327/AP324</f>
        <v>0</v>
      </c>
    </row>
    <row r="328" spans="1:62" ht="15" customHeight="1" x14ac:dyDescent="0.25">
      <c r="A328" s="342"/>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88"/>
        <v>0</v>
      </c>
      <c r="P328" s="31">
        <f t="shared" si="89"/>
        <v>-19.99966666833333</v>
      </c>
      <c r="Q328" s="31">
        <f t="shared" si="90"/>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42"/>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0</v>
      </c>
      <c r="O329" s="3" t="s">
        <v>82</v>
      </c>
      <c r="S329">
        <v>1</v>
      </c>
      <c r="T329" s="3" t="s">
        <v>83</v>
      </c>
      <c r="AE329" t="s">
        <v>95</v>
      </c>
      <c r="AJ329" t="s">
        <v>94</v>
      </c>
      <c r="AO329" t="s">
        <v>96</v>
      </c>
    </row>
    <row r="330" spans="1:62" ht="15" customHeight="1" x14ac:dyDescent="0.25">
      <c r="A330" s="342"/>
      <c r="B330" s="41" t="s">
        <v>104</v>
      </c>
      <c r="C330" s="43">
        <v>0</v>
      </c>
      <c r="E330" s="4" t="s">
        <v>87</v>
      </c>
      <c r="F330" s="49">
        <v>0</v>
      </c>
      <c r="G330" s="132">
        <f>CS_10!G10</f>
        <v>0</v>
      </c>
      <c r="H330" s="132">
        <f>CS_10!H10</f>
        <v>0</v>
      </c>
      <c r="I330" s="132">
        <f>CS_10!I10</f>
        <v>0</v>
      </c>
      <c r="J330" s="132">
        <f>CS_10!J10</f>
        <v>0</v>
      </c>
      <c r="K330" s="132">
        <f>CS_10!K10</f>
        <v>0</v>
      </c>
      <c r="L330" s="132">
        <f>CS_10!L10</f>
        <v>0</v>
      </c>
      <c r="M330" s="29">
        <f>C331</f>
        <v>-100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42"/>
      <c r="B331" s="41" t="s">
        <v>105</v>
      </c>
      <c r="C331" s="43">
        <v>-100</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42"/>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42"/>
      <c r="B333" s="77" t="s">
        <v>182</v>
      </c>
      <c r="C333"/>
      <c r="D333" s="90" t="s">
        <v>245</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42"/>
      <c r="B334" s="41" t="s">
        <v>100</v>
      </c>
      <c r="C334" s="42">
        <v>0</v>
      </c>
      <c r="D334" s="41" t="s">
        <v>100</v>
      </c>
      <c r="E334" s="43">
        <f>C325+C334</f>
        <v>3</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42"/>
      <c r="B335" s="41" t="s">
        <v>101</v>
      </c>
      <c r="C335" s="42">
        <v>0</v>
      </c>
      <c r="D335" s="41" t="s">
        <v>101</v>
      </c>
      <c r="E335" s="43">
        <f>C326+C335</f>
        <v>-10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42"/>
      <c r="B336" s="41" t="s">
        <v>102</v>
      </c>
      <c r="C336" s="42">
        <v>0</v>
      </c>
      <c r="D336" s="41" t="s">
        <v>102</v>
      </c>
      <c r="E336" s="43">
        <f>C327+C336</f>
        <v>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42"/>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42"/>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42"/>
      <c r="B339" s="41" t="s">
        <v>104</v>
      </c>
      <c r="C339" s="42">
        <v>0</v>
      </c>
      <c r="D339" s="41" t="s">
        <v>104</v>
      </c>
      <c r="E339" s="43">
        <f>C330+C339+C325*C286-C327*C284</f>
        <v>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42"/>
      <c r="B340" s="41" t="s">
        <v>105</v>
      </c>
      <c r="C340" s="42">
        <v>0</v>
      </c>
      <c r="D340" s="41" t="s">
        <v>105</v>
      </c>
      <c r="E340" s="43">
        <f>C331+C340+C326*C284-C325*C285</f>
        <v>-200</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43"/>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tabSelected="1" topLeftCell="A2" zoomScaleNormal="100" zoomScalePageLayoutView="75" workbookViewId="0">
      <selection activeCell="B25" sqref="B25"/>
    </sheetView>
  </sheetViews>
  <sheetFormatPr defaultColWidth="11" defaultRowHeight="15.75" x14ac:dyDescent="0.25"/>
  <cols>
    <col min="1" max="1" width="45.375" style="81" customWidth="1"/>
    <col min="2" max="2" width="11.375" style="81" customWidth="1"/>
    <col min="3" max="3" width="34.125" style="155" customWidth="1"/>
    <col min="4" max="4" width="12" style="155" customWidth="1"/>
    <col min="5" max="6" width="7.125" style="155" customWidth="1"/>
    <col min="7" max="12" width="9.625" style="81" customWidth="1"/>
    <col min="13" max="13" width="8.75" style="81" customWidth="1"/>
    <col min="14" max="14" width="12.125" style="81" bestFit="1" customWidth="1"/>
    <col min="15" max="16384" width="11" style="81"/>
  </cols>
  <sheetData>
    <row r="1" spans="1:18" x14ac:dyDescent="0.25">
      <c r="A1" s="206" t="str">
        <f>'CSs and Loads'!A12</f>
        <v>CS 1</v>
      </c>
      <c r="B1" s="206" t="str">
        <f>'CSs and Loads'!A22</f>
        <v>X Stage</v>
      </c>
      <c r="C1" s="257"/>
      <c r="D1" s="257"/>
      <c r="E1" s="257"/>
      <c r="F1" s="257"/>
    </row>
    <row r="2" spans="1:18" ht="16.5" thickBot="1" x14ac:dyDescent="0.3">
      <c r="A2" s="82" t="s">
        <v>132</v>
      </c>
      <c r="E2" s="265"/>
      <c r="F2" s="265"/>
      <c r="G2" s="177"/>
      <c r="H2" s="177"/>
      <c r="J2" s="177"/>
      <c r="K2" s="177"/>
      <c r="L2" s="244"/>
      <c r="M2" s="244"/>
      <c r="N2" s="208"/>
    </row>
    <row r="3" spans="1:18" x14ac:dyDescent="0.25">
      <c r="A3" s="209" t="s">
        <v>111</v>
      </c>
      <c r="D3" s="264"/>
      <c r="E3" s="82" t="s">
        <v>409</v>
      </c>
      <c r="F3" s="81"/>
      <c r="H3" s="291" t="s">
        <v>368</v>
      </c>
      <c r="I3" s="292"/>
      <c r="J3" s="292"/>
      <c r="K3" s="292"/>
      <c r="L3" s="292"/>
      <c r="M3" s="292"/>
      <c r="N3" s="292"/>
      <c r="O3" s="292"/>
      <c r="P3" s="293"/>
      <c r="Q3" s="210"/>
      <c r="R3" s="210"/>
    </row>
    <row r="4" spans="1:18" x14ac:dyDescent="0.25">
      <c r="A4" s="209" t="s">
        <v>319</v>
      </c>
      <c r="B4" s="179" t="s">
        <v>413</v>
      </c>
      <c r="C4" s="397" t="s">
        <v>365</v>
      </c>
      <c r="D4" s="398"/>
      <c r="E4" s="82">
        <v>1.2E-2</v>
      </c>
      <c r="F4" s="81" t="s">
        <v>391</v>
      </c>
      <c r="H4" s="247" t="s">
        <v>417</v>
      </c>
      <c r="I4" s="211"/>
      <c r="J4" s="211"/>
      <c r="K4" s="211"/>
      <c r="L4" s="211"/>
      <c r="M4" s="211"/>
      <c r="N4" s="211"/>
      <c r="O4" s="211"/>
      <c r="P4" s="248"/>
      <c r="R4" s="210"/>
    </row>
    <row r="5" spans="1:18" x14ac:dyDescent="0.25">
      <c r="A5" s="258" t="s">
        <v>335</v>
      </c>
      <c r="B5" s="179" t="s">
        <v>415</v>
      </c>
      <c r="C5" s="399" t="s">
        <v>363</v>
      </c>
      <c r="D5" s="398">
        <v>25</v>
      </c>
      <c r="E5" s="82">
        <v>5.0000000000000001E-4</v>
      </c>
      <c r="F5" s="81" t="s">
        <v>392</v>
      </c>
      <c r="H5" s="267" t="s">
        <v>282</v>
      </c>
      <c r="I5" s="354" t="s">
        <v>285</v>
      </c>
      <c r="J5" s="259">
        <f>(1/(SUM(H35:K35)+D20/D21))</f>
        <v>6.365159149474294E-6</v>
      </c>
      <c r="K5" s="208">
        <v>0</v>
      </c>
      <c r="L5" s="208">
        <v>0</v>
      </c>
      <c r="M5" s="208">
        <v>0</v>
      </c>
      <c r="N5" s="208">
        <v>0</v>
      </c>
      <c r="O5" s="208">
        <v>0</v>
      </c>
      <c r="P5" s="268" t="s">
        <v>276</v>
      </c>
      <c r="R5" s="210"/>
    </row>
    <row r="6" spans="1:18" x14ac:dyDescent="0.25">
      <c r="A6" s="258" t="s">
        <v>338</v>
      </c>
      <c r="B6" s="179" t="s">
        <v>416</v>
      </c>
      <c r="C6" s="399" t="s">
        <v>32</v>
      </c>
      <c r="D6" s="398">
        <f>1770*9.8</f>
        <v>17346</v>
      </c>
      <c r="E6" s="82">
        <v>2.5399999999999999E-2</v>
      </c>
      <c r="F6" s="81" t="s">
        <v>393</v>
      </c>
      <c r="H6" s="267" t="s">
        <v>283</v>
      </c>
      <c r="I6" s="354"/>
      <c r="J6" s="208">
        <v>0</v>
      </c>
      <c r="K6" s="259">
        <f>1/SUM(H36:K36)</f>
        <v>1.1611848544973547E-4</v>
      </c>
      <c r="L6" s="208">
        <v>0</v>
      </c>
      <c r="M6" s="208">
        <v>0</v>
      </c>
      <c r="N6" s="208">
        <v>0</v>
      </c>
      <c r="O6" s="208">
        <v>0</v>
      </c>
      <c r="P6" s="268" t="s">
        <v>277</v>
      </c>
      <c r="R6" s="210"/>
    </row>
    <row r="7" spans="1:18" x14ac:dyDescent="0.25">
      <c r="A7" s="260" t="s">
        <v>291</v>
      </c>
      <c r="B7" s="322">
        <v>70000</v>
      </c>
      <c r="C7" s="399" t="s">
        <v>242</v>
      </c>
      <c r="D7" s="398">
        <f>647*1000</f>
        <v>647000</v>
      </c>
      <c r="E7" s="82">
        <v>70000000000</v>
      </c>
      <c r="F7" s="81" t="s">
        <v>394</v>
      </c>
      <c r="H7" s="267" t="s">
        <v>284</v>
      </c>
      <c r="I7" s="354"/>
      <c r="J7" s="208">
        <v>0</v>
      </c>
      <c r="K7" s="208">
        <v>0</v>
      </c>
      <c r="L7" s="259">
        <f>1/SUM(H37:K37)</f>
        <v>1.5119047619047616E-5</v>
      </c>
      <c r="M7" s="208">
        <v>0</v>
      </c>
      <c r="N7" s="208">
        <v>0</v>
      </c>
      <c r="O7" s="208">
        <v>0</v>
      </c>
      <c r="P7" s="268" t="s">
        <v>278</v>
      </c>
      <c r="R7" s="210"/>
    </row>
    <row r="8" spans="1:18" x14ac:dyDescent="0.25">
      <c r="A8" s="260" t="s">
        <v>287</v>
      </c>
      <c r="B8" s="209">
        <v>0.28999999999999998</v>
      </c>
      <c r="C8" s="399" t="s">
        <v>33</v>
      </c>
      <c r="D8" s="398">
        <v>3</v>
      </c>
      <c r="E8" s="82">
        <v>2.5000000000000001E-2</v>
      </c>
      <c r="F8" s="81" t="s">
        <v>395</v>
      </c>
      <c r="H8" s="267" t="s">
        <v>273</v>
      </c>
      <c r="I8" s="354"/>
      <c r="J8" s="208">
        <v>0</v>
      </c>
      <c r="K8" s="208">
        <v>0</v>
      </c>
      <c r="L8" s="208">
        <v>0</v>
      </c>
      <c r="M8" s="259">
        <f>1/SUM(H43:K43)</f>
        <v>7.1993604966045921E-7</v>
      </c>
      <c r="N8" s="208">
        <v>0</v>
      </c>
      <c r="O8" s="208">
        <v>0</v>
      </c>
      <c r="P8" s="268" t="s">
        <v>279</v>
      </c>
      <c r="R8" s="210"/>
    </row>
    <row r="9" spans="1:18" x14ac:dyDescent="0.25">
      <c r="A9" s="260" t="s">
        <v>292</v>
      </c>
      <c r="B9" s="98">
        <f>B7*3/8</f>
        <v>26250</v>
      </c>
      <c r="C9" s="399" t="s">
        <v>34</v>
      </c>
      <c r="D9" s="398">
        <v>0.01</v>
      </c>
      <c r="E9" s="82">
        <v>2.5000000000000001E-2</v>
      </c>
      <c r="F9" s="81" t="s">
        <v>396</v>
      </c>
      <c r="H9" s="267" t="s">
        <v>275</v>
      </c>
      <c r="I9" s="354"/>
      <c r="J9" s="208">
        <v>0</v>
      </c>
      <c r="K9" s="208">
        <v>0</v>
      </c>
      <c r="L9" s="208">
        <v>0</v>
      </c>
      <c r="M9" s="208">
        <v>0</v>
      </c>
      <c r="N9" s="259">
        <f>1/SUM(H44:K44)</f>
        <v>9.3701973127454605E-8</v>
      </c>
      <c r="O9" s="208">
        <v>0</v>
      </c>
      <c r="P9" s="268" t="s">
        <v>280</v>
      </c>
      <c r="R9" s="210"/>
    </row>
    <row r="10" spans="1:18" ht="16.5" thickBot="1" x14ac:dyDescent="0.3">
      <c r="A10" s="208" t="s">
        <v>339</v>
      </c>
      <c r="B10" s="209"/>
      <c r="C10" s="399" t="s">
        <v>288</v>
      </c>
      <c r="D10" s="400">
        <f>D6/(D8*D9)</f>
        <v>578200</v>
      </c>
      <c r="E10" s="287">
        <f>1/12*E5*(E4)^3</f>
        <v>7.1999999999999997E-11</v>
      </c>
      <c r="F10" s="81" t="s">
        <v>397</v>
      </c>
      <c r="G10" s="164"/>
      <c r="H10" s="269" t="s">
        <v>274</v>
      </c>
      <c r="I10" s="355"/>
      <c r="J10" s="270">
        <v>0</v>
      </c>
      <c r="K10" s="270">
        <v>0</v>
      </c>
      <c r="L10" s="270">
        <v>0</v>
      </c>
      <c r="M10" s="270">
        <v>0</v>
      </c>
      <c r="N10" s="270">
        <v>0</v>
      </c>
      <c r="O10" s="271">
        <f>1/SUM(H45:K45)</f>
        <v>7.1993604966045921E-7</v>
      </c>
      <c r="P10" s="272" t="s">
        <v>281</v>
      </c>
      <c r="R10" s="210"/>
    </row>
    <row r="11" spans="1:18" x14ac:dyDescent="0.25">
      <c r="A11" s="260" t="s">
        <v>342</v>
      </c>
      <c r="B11" s="83">
        <v>100</v>
      </c>
      <c r="C11" s="399" t="s">
        <v>35</v>
      </c>
      <c r="D11" s="397">
        <v>25</v>
      </c>
      <c r="E11" s="287">
        <f>1/12*E4*E5^3</f>
        <v>1.2500000000000002E-13</v>
      </c>
      <c r="F11" s="81" t="s">
        <v>398</v>
      </c>
      <c r="H11" s="164"/>
      <c r="I11" s="256"/>
      <c r="J11" s="256"/>
      <c r="K11" s="256"/>
      <c r="L11" s="256"/>
      <c r="M11" s="256"/>
      <c r="N11" s="208"/>
      <c r="O11" s="261"/>
      <c r="P11" s="208"/>
      <c r="Q11" s="208"/>
      <c r="R11" s="210"/>
    </row>
    <row r="12" spans="1:18" x14ac:dyDescent="0.25">
      <c r="A12" s="260" t="s">
        <v>233</v>
      </c>
      <c r="B12" s="83">
        <v>100</v>
      </c>
      <c r="C12" s="399" t="s">
        <v>375</v>
      </c>
      <c r="D12" s="401">
        <f>D7*D11^2/4</f>
        <v>101093750</v>
      </c>
      <c r="E12" s="287">
        <f>E7*E4*E5/E6/1000</f>
        <v>16535.433070866144</v>
      </c>
      <c r="F12" s="81" t="s">
        <v>400</v>
      </c>
      <c r="I12" s="208"/>
      <c r="J12" s="421">
        <f>1/(D20/D21)</f>
        <v>6.3661977236758142E-6</v>
      </c>
      <c r="K12" s="208"/>
      <c r="L12" s="208"/>
      <c r="M12" s="208"/>
      <c r="N12" s="208"/>
      <c r="O12" s="261"/>
      <c r="P12" s="208"/>
      <c r="Q12" s="208"/>
      <c r="R12" s="210"/>
    </row>
    <row r="13" spans="1:18" x14ac:dyDescent="0.25">
      <c r="A13" s="260" t="s">
        <v>341</v>
      </c>
      <c r="B13" s="209">
        <v>25</v>
      </c>
      <c r="C13" s="399" t="s">
        <v>289</v>
      </c>
      <c r="D13" s="401">
        <f>D7*D11^2/12</f>
        <v>33697916.666666664</v>
      </c>
      <c r="E13" s="287">
        <f>12*E7*E11/E6^3/1000</f>
        <v>6.407493129946892</v>
      </c>
      <c r="F13" s="81" t="s">
        <v>401</v>
      </c>
      <c r="I13" s="98"/>
      <c r="J13" s="208"/>
      <c r="K13" s="208"/>
      <c r="L13" s="208"/>
      <c r="M13" s="208"/>
      <c r="N13" s="208"/>
      <c r="O13" s="261"/>
      <c r="P13" s="208"/>
      <c r="Q13" s="208"/>
      <c r="R13" s="210"/>
    </row>
    <row r="14" spans="1:18" x14ac:dyDescent="0.25">
      <c r="A14" s="260" t="s">
        <v>340</v>
      </c>
      <c r="B14" s="262">
        <v>0.5</v>
      </c>
      <c r="C14" s="399" t="s">
        <v>290</v>
      </c>
      <c r="D14" s="402">
        <f>D13</f>
        <v>33697916.666666664</v>
      </c>
      <c r="E14" s="287">
        <f>E16</f>
        <v>576.34858557783969</v>
      </c>
      <c r="F14" s="81" t="s">
        <v>402</v>
      </c>
      <c r="I14" s="208"/>
      <c r="J14" s="208"/>
      <c r="K14" s="208"/>
      <c r="L14" s="208"/>
      <c r="M14" s="208"/>
      <c r="N14" s="263"/>
      <c r="O14" s="261"/>
      <c r="P14" s="208"/>
      <c r="Q14" s="208"/>
      <c r="R14" s="210"/>
    </row>
    <row r="15" spans="1:18" x14ac:dyDescent="0.25">
      <c r="A15" s="260" t="s">
        <v>271</v>
      </c>
      <c r="B15" s="208"/>
      <c r="C15" s="114" t="s">
        <v>425</v>
      </c>
      <c r="D15" s="210"/>
      <c r="E15" s="287">
        <f>E12*(1000*E5)^2/12*(1-0.3^2)</f>
        <v>313.484251968504</v>
      </c>
      <c r="F15" s="81" t="s">
        <v>403</v>
      </c>
      <c r="I15" s="98"/>
      <c r="J15" s="208"/>
      <c r="K15" s="208"/>
      <c r="L15" s="208"/>
      <c r="M15" s="208"/>
      <c r="N15" s="208"/>
      <c r="O15" s="261"/>
      <c r="P15" s="208"/>
      <c r="Q15" s="208"/>
      <c r="R15" s="210"/>
    </row>
    <row r="16" spans="1:18" x14ac:dyDescent="0.25">
      <c r="A16" s="260" t="s">
        <v>272</v>
      </c>
      <c r="B16" s="98">
        <v>245</v>
      </c>
      <c r="C16" s="115" t="s">
        <v>426</v>
      </c>
      <c r="D16" s="210"/>
      <c r="E16" s="287">
        <f>E12*(1000*E5)^2/12*(1/(2*(1+0.3))*(4+2.52*E5/E4+E4^2/((1-0.3^2)*E6^2+2.4*(1+0.3)*E5^2)))</f>
        <v>576.34858557783969</v>
      </c>
      <c r="F16" s="81" t="s">
        <v>404</v>
      </c>
      <c r="I16" s="98"/>
      <c r="J16" s="208"/>
      <c r="K16" s="208"/>
      <c r="L16" s="208"/>
      <c r="M16" s="208"/>
      <c r="N16" s="208"/>
      <c r="O16" s="261"/>
      <c r="P16" s="208"/>
      <c r="Q16" s="208"/>
      <c r="R16" s="210"/>
    </row>
    <row r="17" spans="1:19" x14ac:dyDescent="0.25">
      <c r="A17" s="260" t="s">
        <v>314</v>
      </c>
      <c r="B17" s="208"/>
      <c r="C17" s="116" t="s">
        <v>269</v>
      </c>
      <c r="D17" s="210">
        <v>6</v>
      </c>
      <c r="E17" s="287">
        <f>4*12*E7*E10/E6^3*1/1000</f>
        <v>14762.864171397634</v>
      </c>
      <c r="F17" s="81" t="s">
        <v>405</v>
      </c>
      <c r="I17" s="98"/>
      <c r="J17" s="208"/>
      <c r="K17" s="208"/>
      <c r="L17" s="208"/>
      <c r="M17" s="208"/>
      <c r="N17" s="208"/>
      <c r="O17" s="261"/>
      <c r="P17" s="208"/>
      <c r="Q17" s="208"/>
      <c r="R17" s="210"/>
    </row>
    <row r="18" spans="1:19" x14ac:dyDescent="0.25">
      <c r="A18" s="260" t="s">
        <v>315</v>
      </c>
      <c r="B18" s="98">
        <v>9587</v>
      </c>
      <c r="C18" s="116" t="s">
        <v>233</v>
      </c>
      <c r="D18" s="210">
        <v>12</v>
      </c>
      <c r="E18" s="287">
        <f>2*1/2*E21*E9^2*1000</f>
        <v>2306.6975267808807</v>
      </c>
      <c r="F18" s="81" t="s">
        <v>406</v>
      </c>
      <c r="I18" s="99"/>
      <c r="J18" s="421">
        <f>1/D20</f>
        <v>2.1220659078919381E-6</v>
      </c>
      <c r="K18" s="208"/>
      <c r="L18" s="208"/>
      <c r="M18" s="208"/>
      <c r="N18" s="208"/>
      <c r="O18" s="261"/>
      <c r="P18" s="208"/>
      <c r="Q18" s="208"/>
      <c r="R18" s="210"/>
    </row>
    <row r="19" spans="1:19" x14ac:dyDescent="0.25">
      <c r="A19" s="260" t="s">
        <v>235</v>
      </c>
      <c r="B19" s="98">
        <v>19175</v>
      </c>
      <c r="C19" s="116" t="s">
        <v>54</v>
      </c>
      <c r="D19" s="422">
        <v>200000</v>
      </c>
      <c r="E19" s="287">
        <f>2*1/2*E21*E8^2*1000</f>
        <v>2306.6975267808807</v>
      </c>
      <c r="F19" s="81" t="s">
        <v>407</v>
      </c>
      <c r="I19" s="209"/>
      <c r="J19" s="208"/>
      <c r="K19" s="208"/>
      <c r="L19" s="208"/>
      <c r="M19" s="208"/>
      <c r="N19" s="208"/>
      <c r="O19" s="261"/>
      <c r="P19" s="208"/>
      <c r="Q19" s="208"/>
      <c r="R19" s="210"/>
    </row>
    <row r="20" spans="1:19" ht="16.5" thickBot="1" x14ac:dyDescent="0.3">
      <c r="A20" s="260" t="s">
        <v>333</v>
      </c>
      <c r="B20" s="98">
        <v>39</v>
      </c>
      <c r="C20" s="116" t="s">
        <v>268</v>
      </c>
      <c r="D20" s="237">
        <f>PI()*D17^2/4*D19/D18</f>
        <v>471238.89803846896</v>
      </c>
      <c r="E20" s="287">
        <f>1/2*E12*E8^2*1000</f>
        <v>5167.3228346456708</v>
      </c>
      <c r="F20" s="81" t="s">
        <v>408</v>
      </c>
      <c r="G20" s="177"/>
      <c r="I20" s="98"/>
      <c r="J20" s="208"/>
      <c r="K20" s="208"/>
      <c r="L20" s="208"/>
      <c r="M20" s="208"/>
      <c r="N20" s="208"/>
      <c r="O20" s="261"/>
      <c r="P20" s="208"/>
      <c r="Q20" s="208"/>
      <c r="R20" s="210"/>
    </row>
    <row r="21" spans="1:19" ht="16.5" thickBot="1" x14ac:dyDescent="0.3">
      <c r="A21" s="274" t="s">
        <v>343</v>
      </c>
      <c r="B21" s="246">
        <v>5752</v>
      </c>
      <c r="C21" s="423" t="s">
        <v>318</v>
      </c>
      <c r="D21" s="424">
        <v>3</v>
      </c>
      <c r="E21" s="287">
        <f>12*E7*E10/E6^3*1/1000</f>
        <v>3690.7160428494085</v>
      </c>
      <c r="F21" s="81" t="s">
        <v>421</v>
      </c>
      <c r="G21" s="295"/>
      <c r="H21" s="177"/>
      <c r="I21" s="246"/>
      <c r="J21" s="244"/>
      <c r="K21" s="244"/>
      <c r="L21" s="244"/>
      <c r="M21" s="244"/>
      <c r="N21" s="208"/>
      <c r="O21" s="261"/>
      <c r="P21" s="208"/>
      <c r="Q21" s="208"/>
      <c r="R21" s="210"/>
    </row>
    <row r="22" spans="1:19" ht="16.5" thickBot="1" x14ac:dyDescent="0.3">
      <c r="A22" s="294" t="s">
        <v>376</v>
      </c>
      <c r="B22" s="295"/>
      <c r="C22" s="295"/>
      <c r="D22" s="295"/>
      <c r="E22" s="287">
        <f>1/(1+3.2*(E4/E6)^2)</f>
        <v>0.58334840319722225</v>
      </c>
      <c r="F22" s="155" t="s">
        <v>420</v>
      </c>
      <c r="H22" s="295"/>
      <c r="I22" s="295"/>
      <c r="J22" s="295"/>
      <c r="K22" s="295"/>
      <c r="L22" s="295"/>
      <c r="M22" s="296"/>
      <c r="N22" s="273"/>
      <c r="O22" s="208"/>
      <c r="P22" s="208"/>
      <c r="Q22" s="208"/>
      <c r="R22" s="210"/>
    </row>
    <row r="23" spans="1:19" ht="31.5" x14ac:dyDescent="0.25">
      <c r="A23" s="276" t="s">
        <v>370</v>
      </c>
      <c r="B23" s="233"/>
      <c r="C23" s="241" t="s">
        <v>265</v>
      </c>
      <c r="D23" s="266"/>
      <c r="E23" s="287">
        <f>E22*E21</f>
        <v>2152.9733102505734</v>
      </c>
      <c r="F23" s="155" t="s">
        <v>422</v>
      </c>
      <c r="G23" s="164"/>
      <c r="H23" s="164"/>
      <c r="I23" s="164"/>
      <c r="J23" s="164"/>
      <c r="K23" s="164"/>
      <c r="L23" s="164"/>
      <c r="M23" s="164"/>
      <c r="O23" s="210"/>
      <c r="P23" s="210"/>
      <c r="Q23" s="210"/>
      <c r="R23" s="210"/>
    </row>
    <row r="24" spans="1:19" x14ac:dyDescent="0.25">
      <c r="A24" s="102" t="s">
        <v>3</v>
      </c>
      <c r="B24" s="107"/>
      <c r="O24" s="210"/>
      <c r="P24" s="210"/>
      <c r="Q24" s="210"/>
      <c r="R24" s="210"/>
    </row>
    <row r="25" spans="1:19" x14ac:dyDescent="0.25">
      <c r="A25" s="218" t="s">
        <v>117</v>
      </c>
      <c r="B25" s="153">
        <f>SUM(H35:S35)+C25</f>
        <v>157105.26265200943</v>
      </c>
      <c r="C25" s="219">
        <f>D20/D21</f>
        <v>157079.63267948964</v>
      </c>
      <c r="O25" s="210"/>
      <c r="P25" s="210"/>
      <c r="Q25" s="210"/>
      <c r="R25" s="210"/>
    </row>
    <row r="26" spans="1:19" x14ac:dyDescent="0.25">
      <c r="A26" s="218" t="s">
        <v>118</v>
      </c>
      <c r="B26" s="153">
        <f>SUM(H36:S36)+C26</f>
        <v>8611.8932410022935</v>
      </c>
      <c r="C26" s="219">
        <v>0</v>
      </c>
      <c r="G26" s="243" t="s">
        <v>184</v>
      </c>
      <c r="O26" s="210"/>
      <c r="P26" s="210"/>
      <c r="Q26" s="210"/>
      <c r="R26" s="210"/>
    </row>
    <row r="27" spans="1:19" x14ac:dyDescent="0.25">
      <c r="A27" s="218" t="s">
        <v>119</v>
      </c>
      <c r="B27" s="153">
        <f>SUM(H37:S37)+C27</f>
        <v>66141.732283464575</v>
      </c>
      <c r="C27" s="219">
        <v>0</v>
      </c>
      <c r="G27" s="82" t="s">
        <v>124</v>
      </c>
      <c r="O27" s="210"/>
      <c r="P27" s="210"/>
      <c r="Q27" s="210"/>
      <c r="R27" s="210"/>
    </row>
    <row r="28" spans="1:19" x14ac:dyDescent="0.25">
      <c r="A28" s="102" t="s">
        <v>115</v>
      </c>
      <c r="B28" s="107"/>
      <c r="C28" s="200"/>
      <c r="D28" s="199"/>
      <c r="E28" s="199"/>
      <c r="F28" s="199"/>
      <c r="G28" s="213" t="s">
        <v>133</v>
      </c>
      <c r="H28" s="214">
        <v>4</v>
      </c>
      <c r="O28" s="210"/>
      <c r="P28" s="210"/>
      <c r="Q28" s="210"/>
      <c r="R28" s="210"/>
    </row>
    <row r="29" spans="1:19" x14ac:dyDescent="0.25">
      <c r="A29" s="218" t="s">
        <v>8</v>
      </c>
      <c r="B29" s="153">
        <f>SUM(H39:S39)+SUM(H43:S43)+C29</f>
        <v>1391317.6551835714</v>
      </c>
      <c r="C29" s="219">
        <v>0</v>
      </c>
      <c r="D29" s="199"/>
      <c r="E29" s="199"/>
      <c r="F29" s="199"/>
      <c r="H29" s="365" t="s">
        <v>129</v>
      </c>
      <c r="I29" s="365"/>
      <c r="J29" s="365"/>
      <c r="K29" s="365"/>
      <c r="L29" s="365"/>
      <c r="M29" s="365"/>
      <c r="N29" s="365"/>
      <c r="O29" s="365"/>
      <c r="P29" s="365"/>
      <c r="Q29" s="365"/>
      <c r="R29" s="365"/>
      <c r="S29" s="365"/>
    </row>
    <row r="30" spans="1:19" x14ac:dyDescent="0.25">
      <c r="A30" s="218" t="s">
        <v>120</v>
      </c>
      <c r="B30" s="153">
        <f>SUM(H40:S40)+SUM(H44:S44)+C30</f>
        <v>10673387.795275591</v>
      </c>
      <c r="C30" s="219">
        <v>0</v>
      </c>
      <c r="D30" s="199"/>
      <c r="E30" s="199"/>
      <c r="F30" s="199"/>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8" t="s">
        <v>116</v>
      </c>
      <c r="B31" s="153">
        <f>SUM(H41:S41)+SUM(H45:S45)+C31</f>
        <v>1391317.6551835714</v>
      </c>
      <c r="C31" s="219">
        <v>0</v>
      </c>
      <c r="D31" s="199"/>
      <c r="E31" s="199"/>
      <c r="F31" s="199"/>
      <c r="G31" s="102" t="s">
        <v>42</v>
      </c>
      <c r="H31" s="214">
        <v>12.7</v>
      </c>
      <c r="I31" s="214">
        <v>-12.7</v>
      </c>
      <c r="J31" s="214">
        <v>12.7</v>
      </c>
      <c r="K31" s="214">
        <v>-12.7</v>
      </c>
      <c r="L31" s="214">
        <v>0</v>
      </c>
      <c r="M31" s="214">
        <v>0</v>
      </c>
      <c r="N31" s="214">
        <v>0</v>
      </c>
      <c r="O31" s="214">
        <v>0</v>
      </c>
      <c r="P31" s="214">
        <v>0</v>
      </c>
      <c r="Q31" s="214">
        <v>0</v>
      </c>
      <c r="R31" s="214">
        <v>0</v>
      </c>
      <c r="S31" s="214">
        <v>0</v>
      </c>
    </row>
    <row r="32" spans="1:19" ht="14.1" customHeight="1" x14ac:dyDescent="0.25">
      <c r="A32" s="356" t="s">
        <v>189</v>
      </c>
      <c r="B32" s="357"/>
      <c r="C32" s="358"/>
      <c r="D32" s="199"/>
      <c r="E32" s="199"/>
      <c r="F32" s="199"/>
      <c r="G32" s="102" t="s">
        <v>43</v>
      </c>
      <c r="H32" s="214">
        <v>0</v>
      </c>
      <c r="I32" s="214">
        <v>0</v>
      </c>
      <c r="J32" s="214">
        <v>0</v>
      </c>
      <c r="K32" s="214">
        <v>0</v>
      </c>
      <c r="L32" s="214">
        <v>0</v>
      </c>
      <c r="M32" s="214">
        <v>0</v>
      </c>
      <c r="N32" s="214">
        <v>0</v>
      </c>
      <c r="O32" s="214">
        <v>0</v>
      </c>
      <c r="P32" s="214">
        <v>0</v>
      </c>
      <c r="Q32" s="214">
        <v>0</v>
      </c>
      <c r="R32" s="214">
        <v>0</v>
      </c>
      <c r="S32" s="214">
        <v>0</v>
      </c>
    </row>
    <row r="33" spans="1:19" ht="15" customHeight="1" x14ac:dyDescent="0.25">
      <c r="A33" s="359"/>
      <c r="B33" s="360"/>
      <c r="C33" s="361"/>
      <c r="D33" s="199"/>
      <c r="E33" s="199"/>
      <c r="F33" s="199"/>
      <c r="G33" s="102" t="s">
        <v>44</v>
      </c>
      <c r="H33" s="214">
        <v>12.7</v>
      </c>
      <c r="I33" s="214">
        <v>12.7</v>
      </c>
      <c r="J33" s="214">
        <v>-12.7</v>
      </c>
      <c r="K33" s="214">
        <v>-12.7</v>
      </c>
      <c r="L33" s="214">
        <v>0</v>
      </c>
      <c r="M33" s="214">
        <v>0</v>
      </c>
      <c r="N33" s="214">
        <v>0</v>
      </c>
      <c r="O33" s="214">
        <v>0</v>
      </c>
      <c r="P33" s="214">
        <v>0</v>
      </c>
      <c r="Q33" s="214">
        <v>0</v>
      </c>
      <c r="R33" s="214">
        <v>0</v>
      </c>
      <c r="S33" s="214">
        <v>0</v>
      </c>
    </row>
    <row r="34" spans="1:19" x14ac:dyDescent="0.25">
      <c r="A34" s="362"/>
      <c r="B34" s="363"/>
      <c r="C34" s="364"/>
      <c r="G34" s="82" t="s">
        <v>130</v>
      </c>
      <c r="H34" s="277"/>
      <c r="I34" s="278"/>
      <c r="J34" s="278"/>
      <c r="K34" s="279"/>
    </row>
    <row r="35" spans="1:19" x14ac:dyDescent="0.25">
      <c r="A35" s="221" t="s">
        <v>185</v>
      </c>
      <c r="B35" s="221"/>
      <c r="C35" s="221"/>
      <c r="D35" s="199"/>
      <c r="E35" s="199"/>
      <c r="F35" s="199"/>
      <c r="G35" s="102" t="s">
        <v>117</v>
      </c>
      <c r="H35" s="311">
        <f>E13</f>
        <v>6.407493129946892</v>
      </c>
      <c r="I35" s="311">
        <f>H35</f>
        <v>6.407493129946892</v>
      </c>
      <c r="J35" s="311">
        <f>H35</f>
        <v>6.407493129946892</v>
      </c>
      <c r="K35" s="311">
        <f>H35</f>
        <v>6.407493129946892</v>
      </c>
      <c r="L35" s="214">
        <v>0</v>
      </c>
      <c r="M35" s="214">
        <v>0</v>
      </c>
      <c r="N35" s="214">
        <v>0</v>
      </c>
      <c r="O35" s="214">
        <v>0</v>
      </c>
      <c r="P35" s="214">
        <v>0</v>
      </c>
      <c r="Q35" s="214">
        <v>0</v>
      </c>
      <c r="R35" s="214">
        <v>0</v>
      </c>
      <c r="S35" s="214">
        <v>0</v>
      </c>
    </row>
    <row r="36" spans="1:19" x14ac:dyDescent="0.25">
      <c r="A36" s="81" t="s">
        <v>109</v>
      </c>
      <c r="D36" s="199"/>
      <c r="E36" s="199"/>
      <c r="F36" s="199"/>
      <c r="G36" s="102" t="s">
        <v>118</v>
      </c>
      <c r="H36" s="311">
        <f>E23</f>
        <v>2152.9733102505734</v>
      </c>
      <c r="I36" s="311">
        <f>H36</f>
        <v>2152.9733102505734</v>
      </c>
      <c r="J36" s="311">
        <f>H36</f>
        <v>2152.9733102505734</v>
      </c>
      <c r="K36" s="311">
        <f>H36</f>
        <v>2152.9733102505734</v>
      </c>
      <c r="L36" s="214">
        <v>0</v>
      </c>
      <c r="M36" s="214">
        <v>0</v>
      </c>
      <c r="N36" s="214">
        <v>0</v>
      </c>
      <c r="O36" s="214">
        <v>0</v>
      </c>
      <c r="P36" s="214">
        <v>0</v>
      </c>
      <c r="Q36" s="214">
        <v>0</v>
      </c>
      <c r="R36" s="214">
        <v>0</v>
      </c>
      <c r="S36" s="214">
        <v>0</v>
      </c>
    </row>
    <row r="37" spans="1:19" x14ac:dyDescent="0.25">
      <c r="A37" s="102" t="s">
        <v>186</v>
      </c>
      <c r="B37" s="214">
        <v>0</v>
      </c>
      <c r="C37" s="210"/>
      <c r="D37" s="199"/>
      <c r="E37" s="199"/>
      <c r="F37" s="199"/>
      <c r="G37" s="102" t="s">
        <v>119</v>
      </c>
      <c r="H37" s="311">
        <f>E12</f>
        <v>16535.433070866144</v>
      </c>
      <c r="I37" s="311">
        <f>H37</f>
        <v>16535.433070866144</v>
      </c>
      <c r="J37" s="311">
        <f>H37</f>
        <v>16535.433070866144</v>
      </c>
      <c r="K37" s="311">
        <f>H37</f>
        <v>16535.433070866144</v>
      </c>
      <c r="L37" s="214">
        <v>0</v>
      </c>
      <c r="M37" s="214">
        <v>0</v>
      </c>
      <c r="N37" s="214">
        <v>0</v>
      </c>
      <c r="O37" s="214">
        <v>0</v>
      </c>
      <c r="P37" s="214">
        <v>0</v>
      </c>
      <c r="Q37" s="214">
        <v>0</v>
      </c>
      <c r="R37" s="214">
        <v>0</v>
      </c>
      <c r="S37" s="214">
        <v>0</v>
      </c>
    </row>
    <row r="38" spans="1:19" x14ac:dyDescent="0.25">
      <c r="A38" s="102" t="s">
        <v>187</v>
      </c>
      <c r="B38" s="214">
        <v>0</v>
      </c>
      <c r="C38" s="210"/>
      <c r="D38" s="199"/>
      <c r="E38" s="199"/>
      <c r="F38" s="199"/>
      <c r="G38" s="82" t="s">
        <v>131</v>
      </c>
      <c r="H38" s="277"/>
      <c r="I38" s="278"/>
      <c r="J38" s="278"/>
      <c r="K38" s="279"/>
    </row>
    <row r="39" spans="1:19" x14ac:dyDescent="0.25">
      <c r="A39" s="102" t="s">
        <v>188</v>
      </c>
      <c r="B39" s="214">
        <v>0</v>
      </c>
      <c r="C39" s="210"/>
      <c r="D39" s="199"/>
      <c r="E39" s="199"/>
      <c r="F39" s="199"/>
      <c r="G39" s="102" t="s">
        <v>8</v>
      </c>
      <c r="H39" s="311">
        <f>E16</f>
        <v>576.34858557783969</v>
      </c>
      <c r="I39" s="311">
        <f>H39</f>
        <v>576.34858557783969</v>
      </c>
      <c r="J39" s="311">
        <f>H39</f>
        <v>576.34858557783969</v>
      </c>
      <c r="K39" s="311">
        <f>H39</f>
        <v>576.34858557783969</v>
      </c>
      <c r="L39" s="214">
        <v>0</v>
      </c>
      <c r="M39" s="214">
        <v>0</v>
      </c>
      <c r="N39" s="214">
        <v>0</v>
      </c>
      <c r="O39" s="214">
        <v>0</v>
      </c>
      <c r="P39" s="214">
        <v>0</v>
      </c>
      <c r="Q39" s="214">
        <v>0</v>
      </c>
      <c r="R39" s="214">
        <v>0</v>
      </c>
      <c r="S39" s="214">
        <v>0</v>
      </c>
    </row>
    <row r="40" spans="1:19" x14ac:dyDescent="0.25">
      <c r="A40" s="150" t="s">
        <v>110</v>
      </c>
      <c r="D40" s="199"/>
      <c r="E40" s="199"/>
      <c r="F40" s="199"/>
      <c r="G40" s="102" t="s">
        <v>120</v>
      </c>
      <c r="H40" s="311">
        <f>E15</f>
        <v>313.484251968504</v>
      </c>
      <c r="I40" s="311">
        <f>H40</f>
        <v>313.484251968504</v>
      </c>
      <c r="J40" s="311">
        <f>H40</f>
        <v>313.484251968504</v>
      </c>
      <c r="K40" s="311">
        <f>H40</f>
        <v>313.484251968504</v>
      </c>
      <c r="L40" s="214">
        <v>0</v>
      </c>
      <c r="M40" s="214">
        <v>0</v>
      </c>
      <c r="N40" s="214">
        <v>0</v>
      </c>
      <c r="O40" s="214">
        <v>0</v>
      </c>
      <c r="P40" s="214">
        <v>0</v>
      </c>
      <c r="Q40" s="214">
        <v>0</v>
      </c>
      <c r="R40" s="214">
        <v>0</v>
      </c>
      <c r="S40" s="214">
        <v>0</v>
      </c>
    </row>
    <row r="41" spans="1:19" x14ac:dyDescent="0.25">
      <c r="A41" s="102" t="s">
        <v>186</v>
      </c>
      <c r="B41" s="214">
        <v>0</v>
      </c>
      <c r="C41" s="210"/>
      <c r="G41" s="102" t="s">
        <v>116</v>
      </c>
      <c r="H41" s="311">
        <f>H39</f>
        <v>576.34858557783969</v>
      </c>
      <c r="I41" s="311">
        <f>H41</f>
        <v>576.34858557783969</v>
      </c>
      <c r="J41" s="311">
        <f>H41</f>
        <v>576.34858557783969</v>
      </c>
      <c r="K41" s="311">
        <f>H41</f>
        <v>576.34858557783969</v>
      </c>
      <c r="L41" s="214">
        <v>0</v>
      </c>
      <c r="M41" s="214">
        <v>0</v>
      </c>
      <c r="N41" s="214">
        <v>0</v>
      </c>
      <c r="O41" s="214">
        <v>0</v>
      </c>
      <c r="P41" s="214">
        <v>0</v>
      </c>
      <c r="Q41" s="214">
        <v>0</v>
      </c>
      <c r="R41" s="214">
        <v>0</v>
      </c>
      <c r="S41" s="214">
        <v>0</v>
      </c>
    </row>
    <row r="42" spans="1:19" x14ac:dyDescent="0.25">
      <c r="A42" s="102" t="s">
        <v>187</v>
      </c>
      <c r="B42" s="214">
        <v>0</v>
      </c>
      <c r="C42" s="210"/>
      <c r="D42" s="217"/>
      <c r="E42" s="217"/>
      <c r="F42" s="217"/>
      <c r="G42" s="82" t="s">
        <v>125</v>
      </c>
    </row>
    <row r="43" spans="1:19" x14ac:dyDescent="0.25">
      <c r="A43" s="102" t="s">
        <v>188</v>
      </c>
      <c r="B43" s="214">
        <v>0</v>
      </c>
      <c r="C43" s="210"/>
      <c r="G43" s="102" t="s">
        <v>8</v>
      </c>
      <c r="H43" s="153">
        <f>H36*H33^2+H37*H32^2</f>
        <v>347253.06521031499</v>
      </c>
      <c r="I43" s="153">
        <f>I36*I33^2+I37*I32^2</f>
        <v>347253.06521031499</v>
      </c>
      <c r="J43" s="153">
        <f>J36*J33^2+J37*J32^2</f>
        <v>347253.06521031499</v>
      </c>
      <c r="K43" s="153">
        <f>K36*K33^2+K37*K32^2</f>
        <v>347253.06521031499</v>
      </c>
      <c r="L43" s="105">
        <f t="shared" ref="I43:S43" si="1">L36*L33^2+L37*L32^2</f>
        <v>0</v>
      </c>
      <c r="M43" s="105">
        <f t="shared" si="1"/>
        <v>0</v>
      </c>
      <c r="N43" s="105">
        <f t="shared" si="1"/>
        <v>0</v>
      </c>
      <c r="O43" s="105">
        <f t="shared" si="1"/>
        <v>0</v>
      </c>
      <c r="P43" s="105">
        <f t="shared" si="1"/>
        <v>0</v>
      </c>
      <c r="Q43" s="105">
        <f t="shared" si="1"/>
        <v>0</v>
      </c>
      <c r="R43" s="105">
        <f t="shared" si="1"/>
        <v>0</v>
      </c>
      <c r="S43" s="105">
        <f t="shared" si="1"/>
        <v>0</v>
      </c>
    </row>
    <row r="44" spans="1:19" x14ac:dyDescent="0.25">
      <c r="A44" s="215" t="s">
        <v>206</v>
      </c>
      <c r="D44" s="237"/>
      <c r="E44" s="237"/>
      <c r="F44" s="237"/>
      <c r="G44" s="102" t="s">
        <v>120</v>
      </c>
      <c r="H44" s="153">
        <f>H35*H33^2+H37*H31^2</f>
        <v>2668033.4645669293</v>
      </c>
      <c r="I44" s="153">
        <f t="shared" ref="I44:S44" si="2">I35*I33^2+I37*I31^2</f>
        <v>2668033.4645669293</v>
      </c>
      <c r="J44" s="153">
        <f t="shared" si="2"/>
        <v>2668033.4645669293</v>
      </c>
      <c r="K44" s="153">
        <f t="shared" si="2"/>
        <v>2668033.4645669293</v>
      </c>
      <c r="L44" s="105">
        <f t="shared" si="2"/>
        <v>0</v>
      </c>
      <c r="M44" s="105">
        <f t="shared" si="2"/>
        <v>0</v>
      </c>
      <c r="N44" s="105">
        <f t="shared" si="2"/>
        <v>0</v>
      </c>
      <c r="O44" s="105">
        <f t="shared" si="2"/>
        <v>0</v>
      </c>
      <c r="P44" s="105">
        <f t="shared" si="2"/>
        <v>0</v>
      </c>
      <c r="Q44" s="105">
        <f t="shared" si="2"/>
        <v>0</v>
      </c>
      <c r="R44" s="105">
        <f t="shared" si="2"/>
        <v>0</v>
      </c>
      <c r="S44" s="105">
        <f t="shared" si="2"/>
        <v>0</v>
      </c>
    </row>
    <row r="45" spans="1:19" x14ac:dyDescent="0.25">
      <c r="A45" s="102" t="s">
        <v>121</v>
      </c>
      <c r="B45" s="105">
        <f>SQRT((H47^2+I47^2+J47^2+K47^2+L47^2+M47^2+N47^2+O47^2+P47^2+Q47^2+R47^2+S47^2)/H$28)</f>
        <v>9.9999999999999995E-7</v>
      </c>
      <c r="C45" s="199"/>
      <c r="D45" s="219"/>
      <c r="E45" s="219"/>
      <c r="F45" s="219"/>
      <c r="G45" s="102" t="s">
        <v>116</v>
      </c>
      <c r="H45" s="153">
        <f>H35*H32^2+H36*H31^2</f>
        <v>347253.06521031499</v>
      </c>
      <c r="I45" s="153">
        <f t="shared" ref="I45:S45" si="3">I35*I32^2+I36*I31^2</f>
        <v>347253.06521031499</v>
      </c>
      <c r="J45" s="153">
        <f t="shared" si="3"/>
        <v>347253.06521031499</v>
      </c>
      <c r="K45" s="153">
        <f t="shared" si="3"/>
        <v>347253.06521031499</v>
      </c>
      <c r="L45" s="105">
        <f t="shared" si="3"/>
        <v>0</v>
      </c>
      <c r="M45" s="105">
        <f t="shared" si="3"/>
        <v>0</v>
      </c>
      <c r="N45" s="105">
        <f t="shared" si="3"/>
        <v>0</v>
      </c>
      <c r="O45" s="105">
        <f t="shared" si="3"/>
        <v>0</v>
      </c>
      <c r="P45" s="105">
        <f t="shared" si="3"/>
        <v>0</v>
      </c>
      <c r="Q45" s="105">
        <f t="shared" si="3"/>
        <v>0</v>
      </c>
      <c r="R45" s="105">
        <f t="shared" si="3"/>
        <v>0</v>
      </c>
      <c r="S45" s="105">
        <f t="shared" si="3"/>
        <v>0</v>
      </c>
    </row>
    <row r="46" spans="1:19" x14ac:dyDescent="0.25">
      <c r="A46" s="102" t="s">
        <v>122</v>
      </c>
      <c r="B46" s="105">
        <f>SQRT((H48^2+I48^2+J48^2+K48^2+L48^2+M48^2+N48^2+O48^2+P48^2+Q48^2+R48^2+S48^2)/H$28)</f>
        <v>1E-4</v>
      </c>
      <c r="C46" s="199"/>
      <c r="D46" s="219"/>
      <c r="E46" s="219"/>
      <c r="F46" s="219"/>
      <c r="G46" s="82" t="s">
        <v>307</v>
      </c>
    </row>
    <row r="47" spans="1:19" x14ac:dyDescent="0.25">
      <c r="A47" s="102" t="s">
        <v>123</v>
      </c>
      <c r="B47" s="105">
        <f>SQRT((H49^2+I49^2+J49^2+K49^2+L49^2+M49^2+N49^2+O49^2+P49^2+Q49^2+R49^2+S49^2)/H$28)</f>
        <v>9.9999999999999995E-7</v>
      </c>
      <c r="C47" s="199"/>
      <c r="D47" s="200"/>
      <c r="E47" s="200"/>
      <c r="F47" s="200"/>
      <c r="G47" s="102" t="s">
        <v>121</v>
      </c>
      <c r="H47" s="214">
        <v>9.9999999999999995E-7</v>
      </c>
      <c r="I47" s="214">
        <v>9.9999999999999995E-7</v>
      </c>
      <c r="J47" s="214">
        <v>9.9999999999999995E-7</v>
      </c>
      <c r="K47" s="214">
        <v>9.9999999999999995E-7</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7.8740157480315692E-6</v>
      </c>
      <c r="C48" s="199"/>
      <c r="D48" s="219"/>
      <c r="E48" s="219"/>
      <c r="F48" s="219"/>
      <c r="G48" s="102" t="s">
        <v>122</v>
      </c>
      <c r="H48" s="214">
        <v>1E-4</v>
      </c>
      <c r="I48" s="214">
        <v>1E-4</v>
      </c>
      <c r="J48" s="214">
        <v>1E-4</v>
      </c>
      <c r="K48" s="214">
        <v>1E-4</v>
      </c>
      <c r="L48" s="214">
        <v>0</v>
      </c>
      <c r="M48" s="214">
        <v>0</v>
      </c>
      <c r="N48" s="214">
        <v>0</v>
      </c>
      <c r="O48" s="214">
        <v>0</v>
      </c>
      <c r="P48" s="214">
        <v>0</v>
      </c>
      <c r="Q48" s="214">
        <v>0</v>
      </c>
      <c r="R48" s="214">
        <v>0</v>
      </c>
      <c r="S48" s="214">
        <v>0</v>
      </c>
    </row>
    <row r="49" spans="1:20" x14ac:dyDescent="0.25">
      <c r="A49" s="102" t="s">
        <v>86</v>
      </c>
      <c r="B49" s="105">
        <f>SQRT((H52^2+I52^2+J52^2+K52^2+L52^2+M52^2+N52^2+O52^2+P52^2+Q52^2+R52^2+S52^2+B38^2)/H$28)</f>
        <v>7.8740154380309434E-8</v>
      </c>
      <c r="C49" s="199"/>
      <c r="D49" s="219"/>
      <c r="E49" s="219"/>
      <c r="F49" s="219"/>
      <c r="G49" s="102" t="s">
        <v>123</v>
      </c>
      <c r="H49" s="214">
        <v>9.9999999999999995E-7</v>
      </c>
      <c r="I49" s="214">
        <v>9.9999999999999995E-7</v>
      </c>
      <c r="J49" s="214">
        <v>9.9999999999999995E-7</v>
      </c>
      <c r="K49" s="214">
        <v>9.9999999999999995E-7</v>
      </c>
      <c r="L49" s="214">
        <v>0</v>
      </c>
      <c r="M49" s="214">
        <v>0</v>
      </c>
      <c r="N49" s="214">
        <v>0</v>
      </c>
      <c r="O49" s="214">
        <v>0</v>
      </c>
      <c r="P49" s="214">
        <v>0</v>
      </c>
      <c r="Q49" s="214">
        <v>0</v>
      </c>
      <c r="R49" s="214">
        <v>0</v>
      </c>
      <c r="S49" s="214">
        <v>0</v>
      </c>
    </row>
    <row r="50" spans="1:20" x14ac:dyDescent="0.25">
      <c r="A50" s="102" t="s">
        <v>87</v>
      </c>
      <c r="B50" s="105">
        <f>SQRT((H53^2+I53^2+J53^2+K53^2+L53^2+M53^2+N53^2+O53^2+P53^2+Q53^2+R53^2+S53^2+B39^2)/H$28)</f>
        <v>7.8740157480315692E-6</v>
      </c>
      <c r="C50" s="199"/>
      <c r="D50" s="219"/>
      <c r="E50" s="219"/>
      <c r="F50" s="219"/>
      <c r="G50" s="82" t="s">
        <v>251</v>
      </c>
    </row>
    <row r="51" spans="1:20" ht="47.25" x14ac:dyDescent="0.25">
      <c r="A51" s="216" t="s">
        <v>207</v>
      </c>
      <c r="B51" s="107"/>
      <c r="G51" s="102" t="s">
        <v>85</v>
      </c>
      <c r="H51" s="153">
        <f>H98</f>
        <v>7.8740151280303061E-6</v>
      </c>
      <c r="I51" s="153">
        <f t="shared" ref="I51:S51" si="4">I98</f>
        <v>7.8740151280303061E-6</v>
      </c>
      <c r="J51" s="153">
        <f t="shared" si="4"/>
        <v>7.8740163680327848E-6</v>
      </c>
      <c r="K51" s="153">
        <f t="shared" si="4"/>
        <v>7.8740163680327848E-6</v>
      </c>
      <c r="L51" s="153">
        <f t="shared" si="4"/>
        <v>0</v>
      </c>
      <c r="M51" s="153">
        <f t="shared" si="4"/>
        <v>0</v>
      </c>
      <c r="N51" s="153">
        <f t="shared" si="4"/>
        <v>0</v>
      </c>
      <c r="O51" s="153">
        <f t="shared" si="4"/>
        <v>0</v>
      </c>
      <c r="P51" s="153">
        <f t="shared" si="4"/>
        <v>0</v>
      </c>
      <c r="Q51" s="153">
        <f t="shared" si="4"/>
        <v>0</v>
      </c>
      <c r="R51" s="153">
        <f t="shared" si="4"/>
        <v>0</v>
      </c>
      <c r="S51" s="153">
        <f t="shared" si="4"/>
        <v>0</v>
      </c>
    </row>
    <row r="52" spans="1:20" ht="15" customHeight="1" x14ac:dyDescent="0.25">
      <c r="A52" s="102" t="s">
        <v>121</v>
      </c>
      <c r="B52" s="105">
        <f>SQRT((H55^2+I55^2+J55^2+K55^2+L55^2+M55^2+N55^2+O55^2+P55^2+Q55^2+R55^2+S55^2)/H$28)</f>
        <v>0</v>
      </c>
      <c r="C52" s="199"/>
      <c r="G52" s="102" t="s">
        <v>86</v>
      </c>
      <c r="H52" s="153">
        <f>H102</f>
        <v>7.8740151280303049E-8</v>
      </c>
      <c r="I52" s="153">
        <f t="shared" ref="I52:S52" si="5">I102</f>
        <v>7.8740151280303049E-8</v>
      </c>
      <c r="J52" s="153">
        <f t="shared" si="5"/>
        <v>7.8740151280303049E-8</v>
      </c>
      <c r="K52" s="153">
        <f t="shared" si="5"/>
        <v>7.8740163680327848E-8</v>
      </c>
      <c r="L52" s="153">
        <f t="shared" si="5"/>
        <v>0</v>
      </c>
      <c r="M52" s="153">
        <f t="shared" si="5"/>
        <v>0</v>
      </c>
      <c r="N52" s="153">
        <f t="shared" si="5"/>
        <v>0</v>
      </c>
      <c r="O52" s="153">
        <f t="shared" si="5"/>
        <v>0</v>
      </c>
      <c r="P52" s="153">
        <f t="shared" si="5"/>
        <v>0</v>
      </c>
      <c r="Q52" s="153">
        <f t="shared" si="5"/>
        <v>0</v>
      </c>
      <c r="R52" s="153">
        <f t="shared" si="5"/>
        <v>0</v>
      </c>
      <c r="S52" s="153">
        <f t="shared" si="5"/>
        <v>0</v>
      </c>
      <c r="T52" s="83"/>
    </row>
    <row r="53" spans="1:20" x14ac:dyDescent="0.25">
      <c r="A53" s="102" t="s">
        <v>122</v>
      </c>
      <c r="B53" s="105">
        <f>SQRT((H56^2+I56^2+J56^2+K56^2+L56^2+M56^2+N56^2+O56^2+P56^2+Q56^2+R56^2+S56^2)/H$28)</f>
        <v>0</v>
      </c>
      <c r="C53" s="199"/>
      <c r="G53" s="102" t="s">
        <v>87</v>
      </c>
      <c r="H53" s="153">
        <f>H106</f>
        <v>7.8740151280303061E-6</v>
      </c>
      <c r="I53" s="153">
        <f t="shared" ref="I53:S53" si="6">I106</f>
        <v>7.8740163680327848E-6</v>
      </c>
      <c r="J53" s="153">
        <f t="shared" si="6"/>
        <v>7.8740151280303061E-6</v>
      </c>
      <c r="K53" s="153">
        <f t="shared" si="6"/>
        <v>7.8740163680327848E-6</v>
      </c>
      <c r="L53" s="153">
        <f t="shared" si="6"/>
        <v>0</v>
      </c>
      <c r="M53" s="153">
        <f t="shared" si="6"/>
        <v>0</v>
      </c>
      <c r="N53" s="153">
        <f t="shared" si="6"/>
        <v>0</v>
      </c>
      <c r="O53" s="153">
        <f t="shared" si="6"/>
        <v>0</v>
      </c>
      <c r="P53" s="153">
        <f t="shared" si="6"/>
        <v>0</v>
      </c>
      <c r="Q53" s="153">
        <f t="shared" si="6"/>
        <v>0</v>
      </c>
      <c r="R53" s="153">
        <f t="shared" si="6"/>
        <v>0</v>
      </c>
      <c r="S53" s="153">
        <f t="shared" si="6"/>
        <v>0</v>
      </c>
    </row>
    <row r="54" spans="1:20" x14ac:dyDescent="0.25">
      <c r="A54" s="102" t="s">
        <v>123</v>
      </c>
      <c r="B54" s="105">
        <f>SQRT((H57^2+I57^2+J57^2+K57^2+L57^2+M57^2+N57^2+O57^2+P57^2+Q57^2+R57^2+S57^2)/H$28)</f>
        <v>0</v>
      </c>
      <c r="C54" s="199"/>
      <c r="G54" s="82" t="s">
        <v>330</v>
      </c>
    </row>
    <row r="55" spans="1:20" x14ac:dyDescent="0.25">
      <c r="A55" s="102" t="s">
        <v>85</v>
      </c>
      <c r="B55" s="105">
        <f>SQRT((H59^2+I59^2+J59^2+K59^2+L59^2+M59^2+N59^2+O59^2+P59^2+Q59^2+R59^2+S59^2+B41^2)/H$28)</f>
        <v>0</v>
      </c>
      <c r="C55" s="199"/>
      <c r="G55" s="102" t="s">
        <v>121</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SQRT((H60^2+I60^2+J60^2+K60^2+L60^2+M60^2+N60^2+O60^2+P60^2+Q60^2+R60^2+S60^2+B42^2)/H$28)</f>
        <v>0</v>
      </c>
      <c r="C56" s="199"/>
      <c r="G56" s="102" t="s">
        <v>122</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SQRT((H61^2+I61^2+J61^2+K61^2+L61^2+M61^2+N61^2+O61^2+P61^2+Q61^2+R61^2+S61^2+B43^2)/H$28)</f>
        <v>0</v>
      </c>
      <c r="C57" s="199"/>
      <c r="D57" s="210"/>
      <c r="E57" s="210"/>
      <c r="F57" s="210"/>
      <c r="G57" s="102" t="s">
        <v>123</v>
      </c>
      <c r="H57" s="214">
        <v>0</v>
      </c>
      <c r="I57" s="214">
        <v>0</v>
      </c>
      <c r="J57" s="214">
        <v>0</v>
      </c>
      <c r="K57" s="214">
        <v>0</v>
      </c>
      <c r="L57" s="214">
        <v>0</v>
      </c>
      <c r="M57" s="214">
        <v>0</v>
      </c>
      <c r="N57" s="214">
        <v>0</v>
      </c>
      <c r="O57" s="214">
        <v>0</v>
      </c>
      <c r="P57" s="214">
        <v>0</v>
      </c>
      <c r="Q57" s="214">
        <v>0</v>
      </c>
      <c r="R57" s="214">
        <v>0</v>
      </c>
      <c r="S57" s="214">
        <v>0</v>
      </c>
    </row>
    <row r="58" spans="1:20" x14ac:dyDescent="0.25">
      <c r="D58" s="210"/>
      <c r="E58" s="210"/>
      <c r="F58" s="210"/>
      <c r="G58" s="82" t="s">
        <v>252</v>
      </c>
    </row>
    <row r="59" spans="1:20" x14ac:dyDescent="0.25">
      <c r="B59" s="107"/>
      <c r="D59" s="210"/>
      <c r="E59" s="210"/>
      <c r="F59" s="210"/>
      <c r="G59" s="102" t="s">
        <v>85</v>
      </c>
      <c r="H59" s="153">
        <f>H113</f>
        <v>0</v>
      </c>
      <c r="I59" s="153">
        <f t="shared" ref="I59:S59" si="7">I113</f>
        <v>0</v>
      </c>
      <c r="J59" s="153">
        <f t="shared" si="7"/>
        <v>0</v>
      </c>
      <c r="K59" s="153">
        <f t="shared" si="7"/>
        <v>0</v>
      </c>
      <c r="L59" s="153">
        <f t="shared" si="7"/>
        <v>0</v>
      </c>
      <c r="M59" s="153">
        <f t="shared" si="7"/>
        <v>0</v>
      </c>
      <c r="N59" s="153">
        <f t="shared" si="7"/>
        <v>0</v>
      </c>
      <c r="O59" s="153">
        <f t="shared" si="7"/>
        <v>0</v>
      </c>
      <c r="P59" s="153">
        <f t="shared" si="7"/>
        <v>0</v>
      </c>
      <c r="Q59" s="153">
        <f t="shared" si="7"/>
        <v>0</v>
      </c>
      <c r="R59" s="153">
        <f t="shared" si="7"/>
        <v>0</v>
      </c>
      <c r="S59" s="153">
        <f t="shared" si="7"/>
        <v>0</v>
      </c>
    </row>
    <row r="60" spans="1:20" x14ac:dyDescent="0.25">
      <c r="G60" s="102" t="s">
        <v>86</v>
      </c>
      <c r="H60" s="153">
        <f>H118</f>
        <v>0</v>
      </c>
      <c r="I60" s="153">
        <f t="shared" ref="I60:S60" si="8">I118</f>
        <v>0</v>
      </c>
      <c r="J60" s="153">
        <f t="shared" si="8"/>
        <v>0</v>
      </c>
      <c r="K60" s="153">
        <f t="shared" si="8"/>
        <v>0</v>
      </c>
      <c r="L60" s="153">
        <f t="shared" si="8"/>
        <v>0</v>
      </c>
      <c r="M60" s="153">
        <f t="shared" si="8"/>
        <v>0</v>
      </c>
      <c r="N60" s="153">
        <f t="shared" si="8"/>
        <v>0</v>
      </c>
      <c r="O60" s="153">
        <f t="shared" si="8"/>
        <v>0</v>
      </c>
      <c r="P60" s="153">
        <f t="shared" si="8"/>
        <v>0</v>
      </c>
      <c r="Q60" s="153">
        <f t="shared" si="8"/>
        <v>0</v>
      </c>
      <c r="R60" s="153">
        <f t="shared" si="8"/>
        <v>0</v>
      </c>
      <c r="S60" s="153">
        <f t="shared" si="8"/>
        <v>0</v>
      </c>
    </row>
    <row r="61" spans="1:20" x14ac:dyDescent="0.25">
      <c r="D61" s="210"/>
      <c r="E61" s="210"/>
      <c r="F61" s="210"/>
      <c r="G61" s="102" t="s">
        <v>87</v>
      </c>
      <c r="H61" s="153">
        <f>H123</f>
        <v>0</v>
      </c>
      <c r="I61" s="153">
        <f t="shared" ref="I61:S61" si="9">I123</f>
        <v>0</v>
      </c>
      <c r="J61" s="153">
        <f t="shared" si="9"/>
        <v>0</v>
      </c>
      <c r="K61" s="153">
        <f t="shared" si="9"/>
        <v>0</v>
      </c>
      <c r="L61" s="153">
        <f t="shared" si="9"/>
        <v>0</v>
      </c>
      <c r="M61" s="153">
        <f t="shared" si="9"/>
        <v>0</v>
      </c>
      <c r="N61" s="153">
        <f t="shared" si="9"/>
        <v>0</v>
      </c>
      <c r="O61" s="153">
        <f t="shared" si="9"/>
        <v>0</v>
      </c>
      <c r="P61" s="153">
        <f t="shared" si="9"/>
        <v>0</v>
      </c>
      <c r="Q61" s="153">
        <f t="shared" si="9"/>
        <v>0</v>
      </c>
      <c r="R61" s="153">
        <f t="shared" si="9"/>
        <v>0</v>
      </c>
      <c r="S61" s="153">
        <f t="shared" si="9"/>
        <v>0</v>
      </c>
    </row>
    <row r="62" spans="1:20" x14ac:dyDescent="0.25">
      <c r="D62" s="210"/>
      <c r="E62" s="210"/>
      <c r="F62" s="210"/>
      <c r="G62" s="215" t="s">
        <v>298</v>
      </c>
    </row>
    <row r="63" spans="1:20" x14ac:dyDescent="0.25">
      <c r="D63" s="210"/>
      <c r="E63" s="210"/>
      <c r="F63" s="210"/>
      <c r="I63" s="118"/>
      <c r="J63" s="118"/>
      <c r="K63" s="118"/>
      <c r="L63" s="118"/>
      <c r="M63" s="118"/>
      <c r="N63" s="118"/>
    </row>
    <row r="64" spans="1:20" x14ac:dyDescent="0.25">
      <c r="D64" s="210"/>
      <c r="E64" s="210"/>
      <c r="F64" s="210"/>
      <c r="G64" s="119"/>
      <c r="H64" s="353"/>
      <c r="I64" s="223"/>
      <c r="J64" s="223"/>
      <c r="K64" s="223"/>
      <c r="L64" s="223"/>
      <c r="M64" s="223"/>
      <c r="N64" s="223"/>
      <c r="O64" s="118"/>
    </row>
    <row r="65" spans="4:15" x14ac:dyDescent="0.25">
      <c r="D65" s="210"/>
      <c r="E65" s="210"/>
      <c r="F65" s="210"/>
      <c r="G65" s="119"/>
      <c r="H65" s="353"/>
      <c r="I65" s="223"/>
      <c r="J65" s="223"/>
      <c r="K65" s="223"/>
      <c r="L65" s="223"/>
      <c r="M65" s="223"/>
      <c r="N65" s="223"/>
      <c r="O65" s="118"/>
    </row>
    <row r="66" spans="4:15" x14ac:dyDescent="0.25">
      <c r="D66" s="210"/>
      <c r="E66" s="210"/>
      <c r="F66" s="210"/>
      <c r="G66" s="119"/>
      <c r="H66" s="353"/>
      <c r="I66" s="223"/>
      <c r="J66" s="223"/>
      <c r="K66" s="223"/>
      <c r="L66" s="223"/>
      <c r="M66" s="223"/>
      <c r="N66" s="223"/>
      <c r="O66" s="118"/>
    </row>
    <row r="67" spans="4:15" x14ac:dyDescent="0.25">
      <c r="D67" s="210"/>
      <c r="E67" s="210"/>
      <c r="F67" s="210"/>
      <c r="G67" s="119"/>
      <c r="H67" s="353"/>
      <c r="I67" s="223"/>
      <c r="J67" s="223"/>
      <c r="K67" s="223"/>
      <c r="L67" s="223"/>
      <c r="M67" s="223"/>
      <c r="N67" s="223"/>
      <c r="O67" s="118"/>
    </row>
    <row r="68" spans="4:15" x14ac:dyDescent="0.25">
      <c r="D68" s="210"/>
      <c r="E68" s="210"/>
      <c r="F68" s="210"/>
      <c r="G68" s="119"/>
      <c r="H68" s="353"/>
      <c r="I68" s="223"/>
      <c r="J68" s="223"/>
      <c r="K68" s="223"/>
      <c r="L68" s="223"/>
      <c r="M68" s="223"/>
      <c r="N68" s="223"/>
      <c r="O68" s="118"/>
    </row>
    <row r="69" spans="4:15" x14ac:dyDescent="0.25">
      <c r="D69" s="210"/>
      <c r="E69" s="210"/>
      <c r="F69" s="210"/>
      <c r="G69" s="119"/>
      <c r="H69" s="353"/>
      <c r="I69" s="223"/>
      <c r="J69" s="223"/>
      <c r="K69" s="223"/>
      <c r="L69" s="223"/>
      <c r="M69" s="223"/>
      <c r="N69" s="223"/>
      <c r="O69" s="118"/>
    </row>
    <row r="70" spans="4:15" x14ac:dyDescent="0.25">
      <c r="D70" s="210"/>
      <c r="E70" s="210"/>
      <c r="F70" s="210"/>
      <c r="G70" s="119"/>
      <c r="H70" s="197"/>
      <c r="I70" s="223"/>
      <c r="J70" s="223"/>
      <c r="K70" s="223"/>
      <c r="L70" s="223"/>
      <c r="M70" s="223"/>
      <c r="N70" s="223"/>
      <c r="O70" s="118"/>
    </row>
    <row r="71" spans="4:15" x14ac:dyDescent="0.25">
      <c r="D71" s="210"/>
      <c r="E71" s="210"/>
      <c r="F71" s="210"/>
      <c r="G71" s="119"/>
      <c r="H71" s="197"/>
      <c r="I71" s="223"/>
      <c r="J71" s="223"/>
      <c r="K71" s="223"/>
      <c r="L71" s="223"/>
      <c r="M71" s="223"/>
      <c r="N71" s="223"/>
      <c r="O71" s="118"/>
    </row>
    <row r="72" spans="4:15" x14ac:dyDescent="0.25">
      <c r="D72" s="210"/>
      <c r="E72" s="210"/>
      <c r="F72" s="210"/>
      <c r="G72" s="119"/>
      <c r="H72" s="197"/>
      <c r="I72" s="223"/>
      <c r="J72" s="223"/>
      <c r="K72" s="223"/>
      <c r="L72" s="223"/>
      <c r="M72" s="223"/>
      <c r="N72" s="223"/>
      <c r="O72" s="118"/>
    </row>
    <row r="73" spans="4:15" x14ac:dyDescent="0.25">
      <c r="D73" s="210"/>
      <c r="E73" s="210"/>
      <c r="F73" s="210"/>
      <c r="G73" s="119"/>
      <c r="H73" s="197"/>
      <c r="I73" s="223"/>
      <c r="J73" s="223"/>
      <c r="K73" s="223"/>
      <c r="L73" s="223"/>
      <c r="M73" s="223"/>
      <c r="N73" s="223"/>
      <c r="O73" s="118"/>
    </row>
    <row r="74" spans="4:15" x14ac:dyDescent="0.25">
      <c r="D74" s="210"/>
      <c r="E74" s="210"/>
      <c r="F74" s="210"/>
      <c r="G74" s="119"/>
      <c r="H74" s="197"/>
      <c r="I74" s="223"/>
      <c r="J74" s="223"/>
      <c r="K74" s="223"/>
      <c r="L74" s="223"/>
      <c r="M74" s="223"/>
      <c r="N74" s="223"/>
      <c r="O74" s="118"/>
    </row>
    <row r="75" spans="4:15" x14ac:dyDescent="0.25">
      <c r="D75" s="210"/>
      <c r="E75" s="210"/>
      <c r="F75" s="210"/>
      <c r="G75" s="119"/>
      <c r="H75" s="197"/>
      <c r="I75" s="223"/>
      <c r="J75" s="223"/>
      <c r="K75" s="223"/>
      <c r="L75" s="223"/>
      <c r="M75" s="223"/>
      <c r="N75" s="223"/>
      <c r="O75" s="118"/>
    </row>
    <row r="76" spans="4:15" x14ac:dyDescent="0.25">
      <c r="D76" s="210"/>
      <c r="E76" s="210"/>
      <c r="F76" s="210"/>
      <c r="G76" s="119"/>
      <c r="H76" s="197"/>
      <c r="I76" s="223"/>
      <c r="J76" s="223"/>
      <c r="K76" s="223"/>
      <c r="L76" s="223"/>
      <c r="M76" s="223"/>
      <c r="N76" s="223"/>
      <c r="O76" s="118"/>
    </row>
    <row r="77" spans="4:15" x14ac:dyDescent="0.25">
      <c r="D77" s="210"/>
      <c r="E77" s="210"/>
      <c r="F77" s="210"/>
      <c r="G77" s="119"/>
      <c r="H77" s="197"/>
      <c r="I77" s="223"/>
      <c r="J77" s="223"/>
      <c r="K77" s="223"/>
      <c r="L77" s="223"/>
      <c r="M77" s="223"/>
      <c r="N77" s="223"/>
      <c r="O77" s="118"/>
    </row>
    <row r="78" spans="4:15" x14ac:dyDescent="0.25">
      <c r="D78" s="210"/>
      <c r="E78" s="210"/>
      <c r="F78" s="210"/>
      <c r="G78" s="119"/>
      <c r="H78" s="197"/>
      <c r="I78" s="223"/>
      <c r="J78" s="223"/>
      <c r="K78" s="223"/>
      <c r="L78" s="223"/>
      <c r="M78" s="223"/>
      <c r="N78" s="223"/>
      <c r="O78" s="118"/>
    </row>
    <row r="79" spans="4:15" x14ac:dyDescent="0.25">
      <c r="D79" s="210"/>
      <c r="E79" s="210"/>
      <c r="F79" s="210"/>
      <c r="G79" s="119"/>
      <c r="H79" s="197"/>
      <c r="I79" s="223"/>
      <c r="J79" s="223"/>
      <c r="K79" s="223"/>
      <c r="L79" s="223"/>
      <c r="M79" s="223"/>
      <c r="N79" s="223"/>
      <c r="O79" s="118"/>
    </row>
    <row r="80" spans="4:15" x14ac:dyDescent="0.25">
      <c r="D80" s="210"/>
      <c r="E80" s="210"/>
      <c r="F80" s="210"/>
      <c r="G80" s="119"/>
      <c r="H80" s="197"/>
      <c r="I80" s="223"/>
      <c r="J80" s="223"/>
      <c r="K80" s="223"/>
      <c r="L80" s="223"/>
      <c r="M80" s="223"/>
      <c r="N80" s="223"/>
      <c r="O80" s="118"/>
    </row>
    <row r="81" spans="1:19" x14ac:dyDescent="0.25">
      <c r="D81" s="210"/>
      <c r="E81" s="210"/>
      <c r="F81" s="210"/>
      <c r="G81" s="119"/>
      <c r="H81" s="197"/>
      <c r="I81" s="223"/>
      <c r="J81" s="223"/>
      <c r="K81" s="223"/>
      <c r="L81" s="223"/>
      <c r="M81" s="223"/>
      <c r="N81" s="223"/>
      <c r="O81" s="118"/>
    </row>
    <row r="82" spans="1:19" x14ac:dyDescent="0.25">
      <c r="A82" s="102"/>
      <c r="B82" s="210"/>
      <c r="C82" s="210"/>
      <c r="D82" s="210"/>
      <c r="E82" s="210"/>
      <c r="F82" s="210"/>
      <c r="G82" s="119"/>
      <c r="H82" s="197"/>
      <c r="I82" s="223"/>
      <c r="J82" s="223"/>
      <c r="K82" s="223"/>
      <c r="L82" s="223"/>
      <c r="M82" s="223"/>
      <c r="N82" s="223"/>
      <c r="O82" s="118"/>
    </row>
    <row r="83" spans="1:19" x14ac:dyDescent="0.25">
      <c r="A83" s="102"/>
      <c r="B83" s="210"/>
      <c r="C83" s="210"/>
      <c r="D83" s="210"/>
      <c r="E83" s="210"/>
      <c r="F83" s="210"/>
      <c r="G83" s="119"/>
      <c r="H83" s="197"/>
      <c r="I83" s="223"/>
      <c r="J83" s="223"/>
      <c r="K83" s="223"/>
      <c r="L83" s="223"/>
      <c r="M83" s="223"/>
      <c r="N83" s="223"/>
      <c r="O83" s="118"/>
    </row>
    <row r="84" spans="1:19" x14ac:dyDescent="0.25">
      <c r="A84" s="102"/>
      <c r="B84" s="210"/>
      <c r="C84" s="210"/>
      <c r="D84" s="210"/>
      <c r="E84" s="210"/>
      <c r="F84" s="210"/>
      <c r="G84" s="119"/>
      <c r="H84" s="197"/>
      <c r="I84" s="223"/>
      <c r="J84" s="223"/>
      <c r="K84" s="223"/>
      <c r="L84" s="223"/>
      <c r="M84" s="223"/>
      <c r="N84" s="223"/>
      <c r="O84" s="118"/>
    </row>
    <row r="85" spans="1:19" x14ac:dyDescent="0.25">
      <c r="A85" s="102"/>
      <c r="B85" s="210"/>
      <c r="C85" s="210"/>
      <c r="D85" s="210"/>
      <c r="E85" s="210"/>
      <c r="F85" s="210"/>
      <c r="G85" s="119"/>
      <c r="H85" s="197"/>
      <c r="I85" s="223"/>
      <c r="J85" s="223"/>
      <c r="K85" s="223"/>
      <c r="L85" s="223"/>
      <c r="M85" s="223"/>
      <c r="N85" s="223"/>
      <c r="O85" s="118"/>
    </row>
    <row r="86" spans="1:19" x14ac:dyDescent="0.25">
      <c r="A86" s="102" t="s">
        <v>309</v>
      </c>
      <c r="B86" s="210"/>
      <c r="C86" s="210"/>
      <c r="D86" s="210"/>
      <c r="E86" s="210"/>
      <c r="F86" s="210"/>
      <c r="G86" s="119"/>
      <c r="H86" s="197"/>
      <c r="I86" s="223"/>
      <c r="J86" s="223"/>
      <c r="K86" s="223"/>
      <c r="L86" s="223"/>
      <c r="M86" s="223"/>
      <c r="N86" s="223"/>
      <c r="O86" s="118"/>
    </row>
    <row r="87" spans="1:19" x14ac:dyDescent="0.25">
      <c r="A87" s="102"/>
      <c r="B87" s="210"/>
      <c r="C87" s="210"/>
      <c r="D87" s="210"/>
      <c r="E87" s="210"/>
      <c r="F87" s="210"/>
      <c r="G87" s="119"/>
      <c r="H87" s="197"/>
      <c r="I87" s="223"/>
      <c r="J87" s="223"/>
      <c r="K87" s="223"/>
      <c r="L87" s="223"/>
      <c r="M87" s="223"/>
      <c r="N87" s="223"/>
      <c r="O87" s="118"/>
    </row>
    <row r="88" spans="1:19" x14ac:dyDescent="0.25">
      <c r="A88" s="102"/>
      <c r="B88" s="210"/>
      <c r="C88" s="210"/>
      <c r="D88" s="210"/>
      <c r="E88" s="210"/>
      <c r="F88" s="210"/>
      <c r="G88" s="119"/>
      <c r="H88" s="197"/>
      <c r="I88" s="223"/>
      <c r="J88" s="223"/>
      <c r="K88" s="223"/>
      <c r="L88" s="223"/>
      <c r="M88" s="223"/>
      <c r="N88" s="223"/>
      <c r="O88" s="118"/>
    </row>
    <row r="89" spans="1:19" x14ac:dyDescent="0.25">
      <c r="A89" s="102"/>
      <c r="B89" s="210"/>
      <c r="C89" s="210"/>
      <c r="D89" s="210"/>
      <c r="E89" s="210"/>
      <c r="F89" s="210"/>
      <c r="G89" s="119"/>
      <c r="H89" s="197"/>
      <c r="I89" s="223"/>
      <c r="J89" s="223"/>
      <c r="K89" s="223"/>
      <c r="L89" s="223"/>
      <c r="M89" s="223"/>
      <c r="N89" s="223"/>
      <c r="O89" s="118"/>
    </row>
    <row r="90" spans="1:19" x14ac:dyDescent="0.25">
      <c r="A90" s="102"/>
      <c r="B90" s="210"/>
      <c r="C90" s="210"/>
      <c r="D90" s="210"/>
      <c r="E90" s="210"/>
      <c r="F90" s="210"/>
      <c r="G90" s="119"/>
      <c r="H90" s="197"/>
      <c r="I90" s="223"/>
      <c r="J90" s="223"/>
      <c r="K90" s="223"/>
      <c r="L90" s="223"/>
      <c r="M90" s="223"/>
      <c r="N90" s="223"/>
      <c r="O90" s="118"/>
    </row>
    <row r="91" spans="1:19" x14ac:dyDescent="0.25">
      <c r="A91" s="102"/>
      <c r="B91" s="210"/>
      <c r="C91" s="210"/>
      <c r="D91" s="210"/>
      <c r="E91" s="210"/>
      <c r="F91" s="210"/>
    </row>
    <row r="92" spans="1:19" x14ac:dyDescent="0.25">
      <c r="A92" s="102"/>
      <c r="B92" s="210"/>
      <c r="C92" s="210"/>
      <c r="D92" s="210"/>
      <c r="E92" s="210"/>
      <c r="F92" s="210"/>
    </row>
    <row r="93" spans="1:19" x14ac:dyDescent="0.25">
      <c r="A93" s="102"/>
      <c r="B93" s="210"/>
      <c r="C93" s="210"/>
      <c r="D93" s="210"/>
      <c r="E93" s="210"/>
      <c r="F93" s="210"/>
    </row>
    <row r="94" spans="1:19" x14ac:dyDescent="0.25">
      <c r="A94" s="102"/>
      <c r="B94" s="210"/>
      <c r="C94" s="210"/>
      <c r="G94" s="224" t="s">
        <v>259</v>
      </c>
    </row>
    <row r="95" spans="1:19" x14ac:dyDescent="0.25">
      <c r="A95" s="102"/>
      <c r="B95" s="210"/>
      <c r="C95" s="210"/>
      <c r="G95" s="212"/>
      <c r="H95" s="150" t="s">
        <v>260</v>
      </c>
    </row>
    <row r="96" spans="1:19" x14ac:dyDescent="0.25">
      <c r="A96" s="102"/>
      <c r="B96" s="210"/>
      <c r="C96" s="210"/>
      <c r="G96" s="150" t="s">
        <v>258</v>
      </c>
      <c r="H96" s="81">
        <f t="shared" ref="H96:S96" si="10">H48/ABS(H33+0.000001)</f>
        <v>7.8740151280303061E-6</v>
      </c>
      <c r="I96" s="81">
        <f t="shared" si="10"/>
        <v>7.8740151280303061E-6</v>
      </c>
      <c r="J96" s="81">
        <f t="shared" si="10"/>
        <v>7.8740163680327848E-6</v>
      </c>
      <c r="K96" s="81">
        <f t="shared" si="10"/>
        <v>7.8740163680327848E-6</v>
      </c>
      <c r="L96" s="81">
        <f t="shared" si="10"/>
        <v>0</v>
      </c>
      <c r="M96" s="81">
        <f t="shared" si="10"/>
        <v>0</v>
      </c>
      <c r="N96" s="81">
        <f t="shared" si="10"/>
        <v>0</v>
      </c>
      <c r="O96" s="81">
        <f t="shared" si="10"/>
        <v>0</v>
      </c>
      <c r="P96" s="81">
        <f t="shared" si="10"/>
        <v>0</v>
      </c>
      <c r="Q96" s="81">
        <f t="shared" si="10"/>
        <v>0</v>
      </c>
      <c r="R96" s="81">
        <f t="shared" si="10"/>
        <v>0</v>
      </c>
      <c r="S96" s="81">
        <f t="shared" si="10"/>
        <v>0</v>
      </c>
    </row>
    <row r="97" spans="1:19" x14ac:dyDescent="0.25">
      <c r="A97" s="102"/>
      <c r="B97" s="210"/>
      <c r="C97" s="210"/>
      <c r="G97" s="150" t="s">
        <v>258</v>
      </c>
      <c r="H97" s="81">
        <f t="shared" ref="H97:S97" si="11">H49/ABS(H32+0.000001)</f>
        <v>1</v>
      </c>
      <c r="I97" s="81">
        <f t="shared" si="11"/>
        <v>1</v>
      </c>
      <c r="J97" s="81">
        <f t="shared" si="11"/>
        <v>1</v>
      </c>
      <c r="K97" s="81">
        <f t="shared" si="11"/>
        <v>1</v>
      </c>
      <c r="L97" s="81">
        <f t="shared" si="11"/>
        <v>0</v>
      </c>
      <c r="M97" s="81">
        <f t="shared" si="11"/>
        <v>0</v>
      </c>
      <c r="N97" s="81">
        <f t="shared" si="11"/>
        <v>0</v>
      </c>
      <c r="O97" s="81">
        <f t="shared" si="11"/>
        <v>0</v>
      </c>
      <c r="P97" s="81">
        <f t="shared" si="11"/>
        <v>0</v>
      </c>
      <c r="Q97" s="81">
        <f t="shared" si="11"/>
        <v>0</v>
      </c>
      <c r="R97" s="81">
        <f t="shared" si="11"/>
        <v>0</v>
      </c>
      <c r="S97" s="81">
        <f t="shared" si="11"/>
        <v>0</v>
      </c>
    </row>
    <row r="98" spans="1:19" x14ac:dyDescent="0.25">
      <c r="A98" s="102"/>
      <c r="B98" s="210"/>
      <c r="C98" s="210"/>
      <c r="G98" s="81" t="s">
        <v>256</v>
      </c>
      <c r="H98" s="225">
        <f>IF(MIN(H96,H97)&gt;1,0,MIN(H96,H97))</f>
        <v>7.8740151280303061E-6</v>
      </c>
      <c r="I98" s="225">
        <f t="shared" ref="I98:S98" si="12">IF(MIN(I96,I97)&gt;1,0,MIN(I96,I97))</f>
        <v>7.8740151280303061E-6</v>
      </c>
      <c r="J98" s="225">
        <f t="shared" si="12"/>
        <v>7.8740163680327848E-6</v>
      </c>
      <c r="K98" s="225">
        <f t="shared" si="12"/>
        <v>7.8740163680327848E-6</v>
      </c>
      <c r="L98" s="225">
        <f t="shared" si="12"/>
        <v>0</v>
      </c>
      <c r="M98" s="225">
        <f t="shared" si="12"/>
        <v>0</v>
      </c>
      <c r="N98" s="225">
        <f t="shared" si="12"/>
        <v>0</v>
      </c>
      <c r="O98" s="225">
        <f t="shared" si="12"/>
        <v>0</v>
      </c>
      <c r="P98" s="225">
        <f t="shared" si="12"/>
        <v>0</v>
      </c>
      <c r="Q98" s="225">
        <f t="shared" si="12"/>
        <v>0</v>
      </c>
      <c r="R98" s="225">
        <f t="shared" si="12"/>
        <v>0</v>
      </c>
      <c r="S98" s="225">
        <f t="shared" si="12"/>
        <v>0</v>
      </c>
    </row>
    <row r="99" spans="1:19" x14ac:dyDescent="0.25">
      <c r="A99" s="102"/>
      <c r="B99" s="210"/>
      <c r="C99" s="210"/>
      <c r="H99" s="150" t="s">
        <v>261</v>
      </c>
      <c r="I99" s="150"/>
      <c r="J99" s="150"/>
      <c r="K99" s="150"/>
      <c r="L99" s="150"/>
      <c r="M99" s="150"/>
      <c r="N99" s="150"/>
      <c r="O99" s="150"/>
      <c r="P99" s="150"/>
      <c r="Q99" s="150"/>
      <c r="R99" s="150"/>
      <c r="S99" s="150"/>
    </row>
    <row r="100" spans="1:19" x14ac:dyDescent="0.25">
      <c r="A100" s="102"/>
      <c r="B100" s="210"/>
      <c r="C100" s="210"/>
      <c r="G100" s="115" t="s">
        <v>258</v>
      </c>
      <c r="H100" s="155">
        <f t="shared" ref="H100:S100" si="13">H49/ABS(H31+0.000001)</f>
        <v>7.8740151280303049E-8</v>
      </c>
      <c r="I100" s="155">
        <f t="shared" si="13"/>
        <v>7.8740163680327848E-8</v>
      </c>
      <c r="J100" s="155">
        <f t="shared" si="13"/>
        <v>7.8740151280303049E-8</v>
      </c>
      <c r="K100" s="155">
        <f t="shared" si="13"/>
        <v>7.8740163680327848E-8</v>
      </c>
      <c r="L100" s="155">
        <f t="shared" si="13"/>
        <v>0</v>
      </c>
      <c r="M100" s="155">
        <f t="shared" si="13"/>
        <v>0</v>
      </c>
      <c r="N100" s="155">
        <f t="shared" si="13"/>
        <v>0</v>
      </c>
      <c r="O100" s="155">
        <f t="shared" si="13"/>
        <v>0</v>
      </c>
      <c r="P100" s="155">
        <f t="shared" si="13"/>
        <v>0</v>
      </c>
      <c r="Q100" s="155">
        <f t="shared" si="13"/>
        <v>0</v>
      </c>
      <c r="R100" s="155">
        <f t="shared" si="13"/>
        <v>0</v>
      </c>
      <c r="S100" s="155">
        <f t="shared" si="13"/>
        <v>0</v>
      </c>
    </row>
    <row r="101" spans="1:19" x14ac:dyDescent="0.25">
      <c r="A101" s="102"/>
      <c r="B101" s="210"/>
      <c r="C101" s="210"/>
      <c r="G101" s="115" t="s">
        <v>258</v>
      </c>
      <c r="H101" s="226">
        <f t="shared" ref="H101:S101" si="14">H47/ABS(H33+0.000001)</f>
        <v>7.8740151280303049E-8</v>
      </c>
      <c r="I101" s="226">
        <f t="shared" si="14"/>
        <v>7.8740151280303049E-8</v>
      </c>
      <c r="J101" s="226">
        <f t="shared" si="14"/>
        <v>7.8740163680327848E-8</v>
      </c>
      <c r="K101" s="226">
        <f t="shared" si="14"/>
        <v>7.8740163680327848E-8</v>
      </c>
      <c r="L101" s="226">
        <f t="shared" si="14"/>
        <v>0</v>
      </c>
      <c r="M101" s="226">
        <f t="shared" si="14"/>
        <v>0</v>
      </c>
      <c r="N101" s="226">
        <f t="shared" si="14"/>
        <v>0</v>
      </c>
      <c r="O101" s="226">
        <f t="shared" si="14"/>
        <v>0</v>
      </c>
      <c r="P101" s="226">
        <f t="shared" si="14"/>
        <v>0</v>
      </c>
      <c r="Q101" s="226">
        <f t="shared" si="14"/>
        <v>0</v>
      </c>
      <c r="R101" s="226">
        <f t="shared" si="14"/>
        <v>0</v>
      </c>
      <c r="S101" s="226">
        <f t="shared" si="14"/>
        <v>0</v>
      </c>
    </row>
    <row r="102" spans="1:19" x14ac:dyDescent="0.25">
      <c r="A102" s="102"/>
      <c r="B102" s="210"/>
      <c r="C102" s="210"/>
      <c r="G102" s="81" t="s">
        <v>256</v>
      </c>
      <c r="H102" s="225">
        <f>IF(MIN(H100,H101)&gt;1,0,MIN(H100,H101))</f>
        <v>7.8740151280303049E-8</v>
      </c>
      <c r="I102" s="225">
        <f t="shared" ref="I102:S102" si="15">IF(MIN(I100,I101)&gt;1,0,MIN(I100,I101))</f>
        <v>7.8740151280303049E-8</v>
      </c>
      <c r="J102" s="225">
        <f t="shared" si="15"/>
        <v>7.8740151280303049E-8</v>
      </c>
      <c r="K102" s="225">
        <f t="shared" si="15"/>
        <v>7.8740163680327848E-8</v>
      </c>
      <c r="L102" s="225">
        <f t="shared" si="15"/>
        <v>0</v>
      </c>
      <c r="M102" s="225">
        <f t="shared" si="15"/>
        <v>0</v>
      </c>
      <c r="N102" s="225">
        <f t="shared" si="15"/>
        <v>0</v>
      </c>
      <c r="O102" s="225">
        <f t="shared" si="15"/>
        <v>0</v>
      </c>
      <c r="P102" s="225">
        <f t="shared" si="15"/>
        <v>0</v>
      </c>
      <c r="Q102" s="225">
        <f t="shared" si="15"/>
        <v>0</v>
      </c>
      <c r="R102" s="225">
        <f t="shared" si="15"/>
        <v>0</v>
      </c>
      <c r="S102" s="225">
        <f t="shared" si="15"/>
        <v>0</v>
      </c>
    </row>
    <row r="103" spans="1:19" x14ac:dyDescent="0.25">
      <c r="A103" s="102"/>
      <c r="B103" s="210"/>
      <c r="C103" s="210"/>
      <c r="H103" s="81" t="s">
        <v>262</v>
      </c>
    </row>
    <row r="104" spans="1:19" x14ac:dyDescent="0.25">
      <c r="A104" s="102"/>
      <c r="B104" s="210"/>
      <c r="C104" s="210"/>
      <c r="G104" s="150" t="s">
        <v>258</v>
      </c>
      <c r="H104" s="81">
        <f t="shared" ref="H104:S104" si="16">H48/ABS(H31+0.000001)</f>
        <v>7.8740151280303061E-6</v>
      </c>
      <c r="I104" s="81">
        <f t="shared" si="16"/>
        <v>7.8740163680327848E-6</v>
      </c>
      <c r="J104" s="81">
        <f t="shared" si="16"/>
        <v>7.8740151280303061E-6</v>
      </c>
      <c r="K104" s="81">
        <f t="shared" si="16"/>
        <v>7.8740163680327848E-6</v>
      </c>
      <c r="L104" s="81">
        <f t="shared" si="16"/>
        <v>0</v>
      </c>
      <c r="M104" s="81">
        <f t="shared" si="16"/>
        <v>0</v>
      </c>
      <c r="N104" s="81">
        <f t="shared" si="16"/>
        <v>0</v>
      </c>
      <c r="O104" s="81">
        <f t="shared" si="16"/>
        <v>0</v>
      </c>
      <c r="P104" s="81">
        <f t="shared" si="16"/>
        <v>0</v>
      </c>
      <c r="Q104" s="81">
        <f t="shared" si="16"/>
        <v>0</v>
      </c>
      <c r="R104" s="81">
        <f t="shared" si="16"/>
        <v>0</v>
      </c>
      <c r="S104" s="81">
        <f t="shared" si="16"/>
        <v>0</v>
      </c>
    </row>
    <row r="105" spans="1:19" x14ac:dyDescent="0.25">
      <c r="A105" s="102"/>
      <c r="B105" s="210"/>
      <c r="C105" s="210"/>
      <c r="G105" s="150" t="s">
        <v>258</v>
      </c>
      <c r="H105" s="81">
        <f t="shared" ref="H105:S105" si="17">H47/ABS(H32+0.000001)</f>
        <v>1</v>
      </c>
      <c r="I105" s="81">
        <f t="shared" si="17"/>
        <v>1</v>
      </c>
      <c r="J105" s="81">
        <f t="shared" si="17"/>
        <v>1</v>
      </c>
      <c r="K105" s="81">
        <f t="shared" si="17"/>
        <v>1</v>
      </c>
      <c r="L105" s="81">
        <f t="shared" si="17"/>
        <v>0</v>
      </c>
      <c r="M105" s="81">
        <f t="shared" si="17"/>
        <v>0</v>
      </c>
      <c r="N105" s="81">
        <f t="shared" si="17"/>
        <v>0</v>
      </c>
      <c r="O105" s="81">
        <f t="shared" si="17"/>
        <v>0</v>
      </c>
      <c r="P105" s="81">
        <f t="shared" si="17"/>
        <v>0</v>
      </c>
      <c r="Q105" s="81">
        <f t="shared" si="17"/>
        <v>0</v>
      </c>
      <c r="R105" s="81">
        <f t="shared" si="17"/>
        <v>0</v>
      </c>
      <c r="S105" s="81">
        <f t="shared" si="17"/>
        <v>0</v>
      </c>
    </row>
    <row r="106" spans="1:19" x14ac:dyDescent="0.25">
      <c r="A106" s="102"/>
      <c r="B106" s="210"/>
      <c r="C106" s="210"/>
      <c r="G106" s="81" t="s">
        <v>256</v>
      </c>
      <c r="H106" s="225">
        <f>IF(MIN(H104,H105)&gt;1,0,MIN(H104,H105))</f>
        <v>7.8740151280303061E-6</v>
      </c>
      <c r="I106" s="225">
        <f t="shared" ref="I106:S106" si="18">IF(MIN(I104,I105)&gt;1,0,MIN(I104,I105))</f>
        <v>7.8740163680327848E-6</v>
      </c>
      <c r="J106" s="225">
        <f t="shared" si="18"/>
        <v>7.8740151280303061E-6</v>
      </c>
      <c r="K106" s="225">
        <f t="shared" si="18"/>
        <v>7.8740163680327848E-6</v>
      </c>
      <c r="L106" s="225">
        <f t="shared" si="18"/>
        <v>0</v>
      </c>
      <c r="M106" s="225">
        <f t="shared" si="18"/>
        <v>0</v>
      </c>
      <c r="N106" s="225">
        <f t="shared" si="18"/>
        <v>0</v>
      </c>
      <c r="O106" s="225">
        <f t="shared" si="18"/>
        <v>0</v>
      </c>
      <c r="P106" s="225">
        <f t="shared" si="18"/>
        <v>0</v>
      </c>
      <c r="Q106" s="225">
        <f t="shared" si="18"/>
        <v>0</v>
      </c>
      <c r="R106" s="225">
        <f t="shared" si="18"/>
        <v>0</v>
      </c>
      <c r="S106" s="225">
        <f t="shared" si="18"/>
        <v>0</v>
      </c>
    </row>
    <row r="107" spans="1:19" x14ac:dyDescent="0.25">
      <c r="A107" s="102"/>
      <c r="B107" s="210"/>
      <c r="C107" s="210"/>
    </row>
    <row r="108" spans="1:19" x14ac:dyDescent="0.25">
      <c r="A108" s="102"/>
      <c r="B108" s="210"/>
      <c r="C108" s="210"/>
      <c r="G108" s="224" t="s">
        <v>308</v>
      </c>
      <c r="H108" s="224"/>
      <c r="I108" s="224"/>
      <c r="J108" s="224"/>
      <c r="K108" s="224"/>
      <c r="L108" s="224"/>
      <c r="M108" s="224"/>
      <c r="N108" s="224"/>
      <c r="O108" s="224"/>
      <c r="P108" s="224"/>
    </row>
    <row r="109" spans="1:19" x14ac:dyDescent="0.25">
      <c r="A109" s="102"/>
      <c r="B109" s="210"/>
      <c r="C109" s="210"/>
      <c r="H109" s="102" t="s">
        <v>253</v>
      </c>
      <c r="I109" s="102"/>
      <c r="J109" s="102"/>
      <c r="K109" s="102"/>
      <c r="L109" s="102"/>
      <c r="M109" s="102"/>
      <c r="N109" s="102"/>
      <c r="O109" s="102"/>
      <c r="P109" s="102"/>
      <c r="Q109" s="102"/>
      <c r="R109" s="102"/>
      <c r="S109" s="102"/>
    </row>
    <row r="110" spans="1:19" x14ac:dyDescent="0.25">
      <c r="A110" s="102"/>
      <c r="B110" s="210"/>
      <c r="C110" s="210"/>
      <c r="G110" s="150" t="s">
        <v>258</v>
      </c>
      <c r="H110" s="225">
        <f t="shared" ref="H110:S110" si="19">H56/(H33+0.000001)</f>
        <v>0</v>
      </c>
      <c r="I110" s="225">
        <f t="shared" si="19"/>
        <v>0</v>
      </c>
      <c r="J110" s="225">
        <f t="shared" si="19"/>
        <v>0</v>
      </c>
      <c r="K110" s="225">
        <f t="shared" si="19"/>
        <v>0</v>
      </c>
      <c r="L110" s="225">
        <f t="shared" si="19"/>
        <v>0</v>
      </c>
      <c r="M110" s="225">
        <f t="shared" si="19"/>
        <v>0</v>
      </c>
      <c r="N110" s="225">
        <f t="shared" si="19"/>
        <v>0</v>
      </c>
      <c r="O110" s="225">
        <f t="shared" si="19"/>
        <v>0</v>
      </c>
      <c r="P110" s="225">
        <f t="shared" si="19"/>
        <v>0</v>
      </c>
      <c r="Q110" s="225">
        <f t="shared" si="19"/>
        <v>0</v>
      </c>
      <c r="R110" s="225">
        <f t="shared" si="19"/>
        <v>0</v>
      </c>
      <c r="S110" s="225">
        <f t="shared" si="19"/>
        <v>0</v>
      </c>
    </row>
    <row r="111" spans="1:19" x14ac:dyDescent="0.25">
      <c r="A111" s="102"/>
      <c r="B111" s="210"/>
      <c r="C111" s="210"/>
      <c r="G111" s="150" t="s">
        <v>258</v>
      </c>
      <c r="H111" s="227">
        <f t="shared" ref="H111:S111" si="20">H57/(H32+0.000001)</f>
        <v>0</v>
      </c>
      <c r="I111" s="227">
        <f t="shared" si="20"/>
        <v>0</v>
      </c>
      <c r="J111" s="227">
        <f t="shared" si="20"/>
        <v>0</v>
      </c>
      <c r="K111" s="227">
        <f t="shared" si="20"/>
        <v>0</v>
      </c>
      <c r="L111" s="227">
        <f t="shared" si="20"/>
        <v>0</v>
      </c>
      <c r="M111" s="227">
        <f t="shared" si="20"/>
        <v>0</v>
      </c>
      <c r="N111" s="227">
        <f t="shared" si="20"/>
        <v>0</v>
      </c>
      <c r="O111" s="227">
        <f t="shared" si="20"/>
        <v>0</v>
      </c>
      <c r="P111" s="227">
        <f t="shared" si="20"/>
        <v>0</v>
      </c>
      <c r="Q111" s="227">
        <f t="shared" si="20"/>
        <v>0</v>
      </c>
      <c r="R111" s="227">
        <f t="shared" si="20"/>
        <v>0</v>
      </c>
      <c r="S111" s="227">
        <f t="shared" si="20"/>
        <v>0</v>
      </c>
    </row>
    <row r="112" spans="1:19" x14ac:dyDescent="0.25">
      <c r="G112" s="81" t="s">
        <v>257</v>
      </c>
      <c r="H112" s="144">
        <f>SIGN(H110+0.000000000001)*SIGN(H111+0.000000000001)</f>
        <v>1</v>
      </c>
      <c r="I112" s="144">
        <f t="shared" ref="I112:S112" si="21">SIGN(I110+0.000000000001)*SIGN(I111+0.000000000001)</f>
        <v>1</v>
      </c>
      <c r="J112" s="144">
        <f t="shared" si="21"/>
        <v>1</v>
      </c>
      <c r="K112" s="144">
        <f t="shared" si="21"/>
        <v>1</v>
      </c>
      <c r="L112" s="144">
        <f t="shared" si="21"/>
        <v>1</v>
      </c>
      <c r="M112" s="144">
        <f t="shared" si="21"/>
        <v>1</v>
      </c>
      <c r="N112" s="144">
        <f t="shared" si="21"/>
        <v>1</v>
      </c>
      <c r="O112" s="144">
        <f t="shared" si="21"/>
        <v>1</v>
      </c>
      <c r="P112" s="144">
        <f t="shared" si="21"/>
        <v>1</v>
      </c>
      <c r="Q112" s="144">
        <f t="shared" si="21"/>
        <v>1</v>
      </c>
      <c r="R112" s="144">
        <f t="shared" si="21"/>
        <v>1</v>
      </c>
      <c r="S112" s="144">
        <f t="shared" si="21"/>
        <v>1</v>
      </c>
    </row>
    <row r="113" spans="7:19" x14ac:dyDescent="0.25">
      <c r="G113" s="81" t="s">
        <v>256</v>
      </c>
      <c r="H113" s="225">
        <f>IF(H112*MIN(ABS(H110),ABS(H111))&gt;1,0,H112*MIN(ABS(H110),ABS(H111)))</f>
        <v>0</v>
      </c>
      <c r="I113" s="225">
        <f t="shared" ref="I113:S113" si="22">IF(I112*MIN(ABS(I110),ABS(I111))&gt;1,0,I112*MIN(ABS(I110),ABS(I111)))</f>
        <v>0</v>
      </c>
      <c r="J113" s="225">
        <f t="shared" si="22"/>
        <v>0</v>
      </c>
      <c r="K113" s="225">
        <f t="shared" si="22"/>
        <v>0</v>
      </c>
      <c r="L113" s="225">
        <f t="shared" si="22"/>
        <v>0</v>
      </c>
      <c r="M113" s="225">
        <f t="shared" si="22"/>
        <v>0</v>
      </c>
      <c r="N113" s="225">
        <f t="shared" si="22"/>
        <v>0</v>
      </c>
      <c r="O113" s="225">
        <f t="shared" si="22"/>
        <v>0</v>
      </c>
      <c r="P113" s="225">
        <f t="shared" si="22"/>
        <v>0</v>
      </c>
      <c r="Q113" s="225">
        <f t="shared" si="22"/>
        <v>0</v>
      </c>
      <c r="R113" s="225">
        <f t="shared" si="22"/>
        <v>0</v>
      </c>
      <c r="S113" s="225">
        <f t="shared" si="22"/>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5">
        <f t="shared" ref="H115:S115" si="23">-H57/(H31+0.000001)</f>
        <v>0</v>
      </c>
      <c r="I115" s="155">
        <f t="shared" si="23"/>
        <v>0</v>
      </c>
      <c r="J115" s="155">
        <f t="shared" si="23"/>
        <v>0</v>
      </c>
      <c r="K115" s="155">
        <f t="shared" si="23"/>
        <v>0</v>
      </c>
      <c r="L115" s="155">
        <f t="shared" si="23"/>
        <v>0</v>
      </c>
      <c r="M115" s="155">
        <f t="shared" si="23"/>
        <v>0</v>
      </c>
      <c r="N115" s="155">
        <f t="shared" si="23"/>
        <v>0</v>
      </c>
      <c r="O115" s="155">
        <f t="shared" si="23"/>
        <v>0</v>
      </c>
      <c r="P115" s="155">
        <f t="shared" si="23"/>
        <v>0</v>
      </c>
      <c r="Q115" s="155">
        <f t="shared" si="23"/>
        <v>0</v>
      </c>
      <c r="R115" s="155">
        <f t="shared" si="23"/>
        <v>0</v>
      </c>
      <c r="S115" s="155">
        <f t="shared" si="23"/>
        <v>0</v>
      </c>
    </row>
    <row r="116" spans="7:19" x14ac:dyDescent="0.25">
      <c r="G116" s="115" t="s">
        <v>258</v>
      </c>
      <c r="H116" s="155">
        <f t="shared" ref="H116:S116" si="24">H55/(H33+0.000001)</f>
        <v>0</v>
      </c>
      <c r="I116" s="155">
        <f t="shared" si="24"/>
        <v>0</v>
      </c>
      <c r="J116" s="155">
        <f t="shared" si="24"/>
        <v>0</v>
      </c>
      <c r="K116" s="155">
        <f t="shared" si="24"/>
        <v>0</v>
      </c>
      <c r="L116" s="155">
        <f t="shared" si="24"/>
        <v>0</v>
      </c>
      <c r="M116" s="155">
        <f t="shared" si="24"/>
        <v>0</v>
      </c>
      <c r="N116" s="155">
        <f t="shared" si="24"/>
        <v>0</v>
      </c>
      <c r="O116" s="155">
        <f t="shared" si="24"/>
        <v>0</v>
      </c>
      <c r="P116" s="155">
        <f t="shared" si="24"/>
        <v>0</v>
      </c>
      <c r="Q116" s="155">
        <f t="shared" si="24"/>
        <v>0</v>
      </c>
      <c r="R116" s="155">
        <f t="shared" si="24"/>
        <v>0</v>
      </c>
      <c r="S116" s="155">
        <f t="shared" si="24"/>
        <v>0</v>
      </c>
    </row>
    <row r="117" spans="7:19" x14ac:dyDescent="0.25">
      <c r="G117" s="155" t="s">
        <v>257</v>
      </c>
      <c r="H117" s="228">
        <f>SIGN(H115+0.000000000001)*SIGN(H116+0.000000000001)</f>
        <v>1</v>
      </c>
      <c r="I117" s="228">
        <f t="shared" ref="I117:S117" si="25">SIGN(I115+0.000000000001)*SIGN(I116+0.000000000001)</f>
        <v>1</v>
      </c>
      <c r="J117" s="228">
        <f t="shared" si="25"/>
        <v>1</v>
      </c>
      <c r="K117" s="228">
        <f t="shared" si="25"/>
        <v>1</v>
      </c>
      <c r="L117" s="228">
        <f t="shared" si="25"/>
        <v>1</v>
      </c>
      <c r="M117" s="228">
        <f t="shared" si="25"/>
        <v>1</v>
      </c>
      <c r="N117" s="228">
        <f t="shared" si="25"/>
        <v>1</v>
      </c>
      <c r="O117" s="228">
        <f t="shared" si="25"/>
        <v>1</v>
      </c>
      <c r="P117" s="228">
        <f t="shared" si="25"/>
        <v>1</v>
      </c>
      <c r="Q117" s="228">
        <f t="shared" si="25"/>
        <v>1</v>
      </c>
      <c r="R117" s="228">
        <f t="shared" si="25"/>
        <v>1</v>
      </c>
      <c r="S117" s="228">
        <f t="shared" si="25"/>
        <v>1</v>
      </c>
    </row>
    <row r="118" spans="7:19" x14ac:dyDescent="0.25">
      <c r="G118" s="155" t="s">
        <v>256</v>
      </c>
      <c r="H118" s="229">
        <f>IF(H117*MIN(ABS(H115),ABS(H116))&gt;1,0,H117*MIN(ABS(H115),ABS(H116)))</f>
        <v>0</v>
      </c>
      <c r="I118" s="229">
        <f t="shared" ref="I118:S118" si="26">IF(I117*MIN(ABS(I115),ABS(I116))&gt;1,0,I117*MIN(ABS(I115),ABS(I116)))</f>
        <v>0</v>
      </c>
      <c r="J118" s="229">
        <f t="shared" si="26"/>
        <v>0</v>
      </c>
      <c r="K118" s="229">
        <f t="shared" si="26"/>
        <v>0</v>
      </c>
      <c r="L118" s="229">
        <f t="shared" si="26"/>
        <v>0</v>
      </c>
      <c r="M118" s="229">
        <f t="shared" si="26"/>
        <v>0</v>
      </c>
      <c r="N118" s="229">
        <f t="shared" si="26"/>
        <v>0</v>
      </c>
      <c r="O118" s="229">
        <f t="shared" si="26"/>
        <v>0</v>
      </c>
      <c r="P118" s="229">
        <f t="shared" si="26"/>
        <v>0</v>
      </c>
      <c r="Q118" s="229">
        <f t="shared" si="26"/>
        <v>0</v>
      </c>
      <c r="R118" s="229">
        <f t="shared" si="26"/>
        <v>0</v>
      </c>
      <c r="S118" s="229">
        <f t="shared" si="26"/>
        <v>0</v>
      </c>
    </row>
    <row r="119" spans="7:19" x14ac:dyDescent="0.25">
      <c r="H119" s="102" t="s">
        <v>255</v>
      </c>
      <c r="I119" s="102"/>
      <c r="J119" s="102"/>
      <c r="K119" s="102"/>
      <c r="L119" s="102"/>
      <c r="M119" s="102"/>
      <c r="N119" s="102"/>
      <c r="O119" s="102"/>
      <c r="P119" s="102"/>
      <c r="Q119" s="102"/>
      <c r="R119" s="102"/>
      <c r="S119" s="102"/>
    </row>
    <row r="120" spans="7:19" x14ac:dyDescent="0.25">
      <c r="G120" s="150" t="s">
        <v>258</v>
      </c>
      <c r="H120" s="225">
        <f t="shared" ref="H120:S120" si="27">H56/(H31+0.000001)</f>
        <v>0</v>
      </c>
      <c r="I120" s="225">
        <f t="shared" si="27"/>
        <v>0</v>
      </c>
      <c r="J120" s="225">
        <f t="shared" si="27"/>
        <v>0</v>
      </c>
      <c r="K120" s="225">
        <f t="shared" si="27"/>
        <v>0</v>
      </c>
      <c r="L120" s="225">
        <f t="shared" si="27"/>
        <v>0</v>
      </c>
      <c r="M120" s="225">
        <f t="shared" si="27"/>
        <v>0</v>
      </c>
      <c r="N120" s="225">
        <f t="shared" si="27"/>
        <v>0</v>
      </c>
      <c r="O120" s="225">
        <f t="shared" si="27"/>
        <v>0</v>
      </c>
      <c r="P120" s="225">
        <f t="shared" si="27"/>
        <v>0</v>
      </c>
      <c r="Q120" s="225">
        <f t="shared" si="27"/>
        <v>0</v>
      </c>
      <c r="R120" s="225">
        <f t="shared" si="27"/>
        <v>0</v>
      </c>
      <c r="S120" s="225">
        <f t="shared" si="27"/>
        <v>0</v>
      </c>
    </row>
    <row r="121" spans="7:19" x14ac:dyDescent="0.25">
      <c r="G121" s="150" t="s">
        <v>258</v>
      </c>
      <c r="H121" s="81">
        <f t="shared" ref="H121:S121" si="28">H55/(H32+0.000001)</f>
        <v>0</v>
      </c>
      <c r="I121" s="81">
        <f t="shared" si="28"/>
        <v>0</v>
      </c>
      <c r="J121" s="81">
        <f t="shared" si="28"/>
        <v>0</v>
      </c>
      <c r="K121" s="81">
        <f t="shared" si="28"/>
        <v>0</v>
      </c>
      <c r="L121" s="81">
        <f t="shared" si="28"/>
        <v>0</v>
      </c>
      <c r="M121" s="81">
        <f t="shared" si="28"/>
        <v>0</v>
      </c>
      <c r="N121" s="81">
        <f t="shared" si="28"/>
        <v>0</v>
      </c>
      <c r="O121" s="81">
        <f t="shared" si="28"/>
        <v>0</v>
      </c>
      <c r="P121" s="81">
        <f t="shared" si="28"/>
        <v>0</v>
      </c>
      <c r="Q121" s="81">
        <f t="shared" si="28"/>
        <v>0</v>
      </c>
      <c r="R121" s="81">
        <f t="shared" si="28"/>
        <v>0</v>
      </c>
      <c r="S121" s="81">
        <f t="shared" si="28"/>
        <v>0</v>
      </c>
    </row>
    <row r="122" spans="7:19" x14ac:dyDescent="0.25">
      <c r="G122" s="81" t="s">
        <v>257</v>
      </c>
      <c r="H122" s="144">
        <f>SIGN(H120+0.000000000001)*SIGN(H121+0.000000000001)</f>
        <v>1</v>
      </c>
      <c r="I122" s="144">
        <f t="shared" ref="I122:S122" si="29">SIGN(I120+0.000000000001)*SIGN(I121+0.000000000001)</f>
        <v>1</v>
      </c>
      <c r="J122" s="144">
        <f t="shared" si="29"/>
        <v>1</v>
      </c>
      <c r="K122" s="144">
        <f t="shared" si="29"/>
        <v>1</v>
      </c>
      <c r="L122" s="144">
        <f t="shared" si="29"/>
        <v>1</v>
      </c>
      <c r="M122" s="144">
        <f t="shared" si="29"/>
        <v>1</v>
      </c>
      <c r="N122" s="144">
        <f t="shared" si="29"/>
        <v>1</v>
      </c>
      <c r="O122" s="144">
        <f t="shared" si="29"/>
        <v>1</v>
      </c>
      <c r="P122" s="144">
        <f t="shared" si="29"/>
        <v>1</v>
      </c>
      <c r="Q122" s="144">
        <f t="shared" si="29"/>
        <v>1</v>
      </c>
      <c r="R122" s="144">
        <f t="shared" si="29"/>
        <v>1</v>
      </c>
      <c r="S122" s="144">
        <f t="shared" si="29"/>
        <v>1</v>
      </c>
    </row>
    <row r="123" spans="7:19" x14ac:dyDescent="0.25">
      <c r="G123" s="81" t="s">
        <v>256</v>
      </c>
      <c r="H123" s="225">
        <f>IF(H122*MIN(ABS(H120),ABS(H121))&gt;1,0,H122*MIN(ABS(H120),ABS(H121)))</f>
        <v>0</v>
      </c>
      <c r="I123" s="225">
        <f t="shared" ref="I123:S123" si="30">IF(I122*MIN(ABS(I120),ABS(I121))&gt;1,0,I122*MIN(ABS(I120),ABS(I121)))</f>
        <v>0</v>
      </c>
      <c r="J123" s="225">
        <f t="shared" si="30"/>
        <v>0</v>
      </c>
      <c r="K123" s="225">
        <f t="shared" si="30"/>
        <v>0</v>
      </c>
      <c r="L123" s="225">
        <f t="shared" si="30"/>
        <v>0</v>
      </c>
      <c r="M123" s="225">
        <f t="shared" si="30"/>
        <v>0</v>
      </c>
      <c r="N123" s="225">
        <f t="shared" si="30"/>
        <v>0</v>
      </c>
      <c r="O123" s="225">
        <f t="shared" si="30"/>
        <v>0</v>
      </c>
      <c r="P123" s="225">
        <f t="shared" si="30"/>
        <v>0</v>
      </c>
      <c r="Q123" s="225">
        <f t="shared" si="30"/>
        <v>0</v>
      </c>
      <c r="R123" s="225">
        <f t="shared" si="30"/>
        <v>0</v>
      </c>
      <c r="S123" s="225">
        <f t="shared" si="30"/>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5"/>
      <c r="I126" s="225"/>
      <c r="J126" s="225"/>
      <c r="K126" s="225"/>
      <c r="L126" s="225"/>
      <c r="M126" s="225"/>
      <c r="N126" s="225"/>
      <c r="O126" s="225"/>
      <c r="P126" s="225"/>
      <c r="Q126" s="225"/>
      <c r="R126" s="225"/>
      <c r="S126" s="225"/>
    </row>
  </sheetData>
  <mergeCells count="4">
    <mergeCell ref="H64:H69"/>
    <mergeCell ref="I5:I10"/>
    <mergeCell ref="A32:C34"/>
    <mergeCell ref="H29:S29"/>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35"/>
  <sheetViews>
    <sheetView zoomScale="115" zoomScaleNormal="115" zoomScalePageLayoutView="75" workbookViewId="0">
      <selection activeCell="I16" sqref="I16"/>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06" t="str">
        <f>'CSs and Loads'!A45</f>
        <v>CS 2</v>
      </c>
      <c r="B1" s="206" t="str">
        <f>'CSs and Loads'!A55</f>
        <v>Y column</v>
      </c>
    </row>
    <row r="2" spans="1:18" ht="16.5" thickBot="1" x14ac:dyDescent="0.3">
      <c r="A2" s="82" t="s">
        <v>132</v>
      </c>
      <c r="E2" s="177"/>
      <c r="F2" s="177"/>
      <c r="G2" s="177"/>
      <c r="H2" s="177"/>
      <c r="I2" s="243"/>
      <c r="J2" s="177"/>
      <c r="K2" s="177"/>
      <c r="L2" s="244"/>
      <c r="M2" s="244"/>
      <c r="N2" s="208"/>
    </row>
    <row r="3" spans="1:18" x14ac:dyDescent="0.25">
      <c r="A3" s="209" t="s">
        <v>111</v>
      </c>
      <c r="D3" s="242"/>
      <c r="E3" s="368" t="s">
        <v>368</v>
      </c>
      <c r="F3" s="369"/>
      <c r="G3" s="369"/>
      <c r="H3" s="369"/>
      <c r="I3" s="369"/>
      <c r="J3" s="369"/>
      <c r="K3" s="369"/>
      <c r="L3" s="369"/>
      <c r="M3" s="370"/>
      <c r="N3" s="183"/>
      <c r="O3" s="210"/>
      <c r="P3" s="210"/>
      <c r="Q3" s="210"/>
      <c r="R3" s="210"/>
    </row>
    <row r="4" spans="1:18" x14ac:dyDescent="0.25">
      <c r="A4" s="163" t="s">
        <v>319</v>
      </c>
      <c r="B4" s="181" t="s">
        <v>411</v>
      </c>
      <c r="C4" s="397" t="s">
        <v>365</v>
      </c>
      <c r="D4" s="398"/>
      <c r="E4" s="377" t="s">
        <v>424</v>
      </c>
      <c r="F4" s="378"/>
      <c r="G4" s="378"/>
      <c r="H4" s="378"/>
      <c r="I4" s="378"/>
      <c r="J4" s="378"/>
      <c r="K4" s="378"/>
      <c r="L4" s="378"/>
      <c r="M4" s="379"/>
      <c r="N4" s="183"/>
    </row>
    <row r="5" spans="1:18" x14ac:dyDescent="0.25">
      <c r="A5" s="162" t="s">
        <v>335</v>
      </c>
      <c r="B5" s="181" t="s">
        <v>410</v>
      </c>
      <c r="C5" s="399" t="s">
        <v>377</v>
      </c>
      <c r="D5" s="398">
        <v>75</v>
      </c>
      <c r="E5" s="184" t="s">
        <v>282</v>
      </c>
      <c r="F5" s="374" t="s">
        <v>285</v>
      </c>
      <c r="G5" s="420">
        <f>B12^3/(3*B7*B18)</f>
        <v>7.8400000000000014E-7</v>
      </c>
      <c r="H5" s="155">
        <v>0</v>
      </c>
      <c r="I5" s="155">
        <v>0</v>
      </c>
      <c r="J5" s="155">
        <v>0</v>
      </c>
      <c r="K5" s="210">
        <v>0</v>
      </c>
      <c r="L5" s="237">
        <f>B12^2/(2*B7*B18)</f>
        <v>3.3600000000000003E-8</v>
      </c>
      <c r="M5" s="185" t="s">
        <v>276</v>
      </c>
      <c r="N5" s="183"/>
    </row>
    <row r="6" spans="1:18" x14ac:dyDescent="0.25">
      <c r="A6" s="162" t="s">
        <v>338</v>
      </c>
      <c r="B6" s="180" t="s">
        <v>286</v>
      </c>
      <c r="C6" s="399" t="s">
        <v>32</v>
      </c>
      <c r="D6" s="398">
        <v>20000</v>
      </c>
      <c r="E6" s="184" t="s">
        <v>283</v>
      </c>
      <c r="F6" s="375"/>
      <c r="G6" s="155">
        <v>0</v>
      </c>
      <c r="H6" s="237">
        <f>B12/(B7*B16)</f>
        <v>3.9999999999999998E-7</v>
      </c>
      <c r="I6" s="155">
        <v>0</v>
      </c>
      <c r="J6" s="210">
        <v>0</v>
      </c>
      <c r="K6" s="200">
        <v>0</v>
      </c>
      <c r="L6" s="155">
        <v>0</v>
      </c>
      <c r="M6" s="185" t="s">
        <v>277</v>
      </c>
      <c r="N6" s="183"/>
    </row>
    <row r="7" spans="1:18" x14ac:dyDescent="0.25">
      <c r="A7" s="102" t="s">
        <v>291</v>
      </c>
      <c r="B7" s="194">
        <v>70000</v>
      </c>
      <c r="C7" s="399" t="s">
        <v>242</v>
      </c>
      <c r="D7" s="398">
        <f>500*1000</f>
        <v>500000</v>
      </c>
      <c r="E7" s="184" t="s">
        <v>284</v>
      </c>
      <c r="F7" s="375"/>
      <c r="G7" s="155">
        <v>0</v>
      </c>
      <c r="H7" s="155">
        <v>0</v>
      </c>
      <c r="I7" s="237">
        <f>B12^3/(3*B7*B17)</f>
        <v>3.1360000000000006E-6</v>
      </c>
      <c r="J7" s="237">
        <f>B12^2/(2*B7*B17)</f>
        <v>1.3440000000000001E-7</v>
      </c>
      <c r="K7" s="237"/>
      <c r="L7" s="155">
        <v>0</v>
      </c>
      <c r="M7" s="185" t="s">
        <v>278</v>
      </c>
      <c r="N7" s="183"/>
    </row>
    <row r="8" spans="1:18" x14ac:dyDescent="0.25">
      <c r="A8" s="102" t="s">
        <v>287</v>
      </c>
      <c r="B8" s="170">
        <v>0.28999999999999998</v>
      </c>
      <c r="C8" s="399" t="s">
        <v>33</v>
      </c>
      <c r="D8" s="398">
        <v>3</v>
      </c>
      <c r="E8" s="184" t="s">
        <v>273</v>
      </c>
      <c r="F8" s="375"/>
      <c r="G8" s="155">
        <v>0</v>
      </c>
      <c r="H8" s="210">
        <v>0</v>
      </c>
      <c r="I8" s="237">
        <f>B12^2/(2*B7*B17)</f>
        <v>1.3440000000000001E-7</v>
      </c>
      <c r="J8" s="237">
        <f>B12/(B7*B17)</f>
        <v>7.6800000000000016E-9</v>
      </c>
      <c r="K8" s="155">
        <v>0</v>
      </c>
      <c r="L8" s="155">
        <v>0</v>
      </c>
      <c r="M8" s="185" t="s">
        <v>279</v>
      </c>
      <c r="N8" s="183"/>
    </row>
    <row r="9" spans="1:18" x14ac:dyDescent="0.25">
      <c r="A9" s="102" t="s">
        <v>292</v>
      </c>
      <c r="B9" s="182">
        <f>B7/(2*(1+B8))</f>
        <v>27131.782945736435</v>
      </c>
      <c r="C9" s="399" t="s">
        <v>34</v>
      </c>
      <c r="D9" s="398">
        <v>0.01</v>
      </c>
      <c r="E9" s="184" t="s">
        <v>275</v>
      </c>
      <c r="F9" s="375"/>
      <c r="G9" s="210">
        <v>0</v>
      </c>
      <c r="H9" s="155">
        <v>0</v>
      </c>
      <c r="I9" s="155">
        <v>0</v>
      </c>
      <c r="J9" s="155">
        <v>0</v>
      </c>
      <c r="K9" s="237">
        <f>B12/(B9*B19)</f>
        <v>1.98144E-8</v>
      </c>
      <c r="L9" s="155">
        <v>0</v>
      </c>
      <c r="M9" s="185" t="s">
        <v>280</v>
      </c>
      <c r="N9" s="183"/>
    </row>
    <row r="10" spans="1:18" ht="16.5" thickBot="1" x14ac:dyDescent="0.3">
      <c r="A10" s="193" t="s">
        <v>339</v>
      </c>
      <c r="B10" s="82"/>
      <c r="C10" s="399" t="s">
        <v>288</v>
      </c>
      <c r="D10" s="409">
        <f>D6/(D8*D9)</f>
        <v>666666.66666666674</v>
      </c>
      <c r="E10" s="186" t="s">
        <v>274</v>
      </c>
      <c r="F10" s="376"/>
      <c r="G10" s="419">
        <f>B12^2/(2*B7*B18)</f>
        <v>3.3600000000000003E-8</v>
      </c>
      <c r="H10" s="195">
        <v>0</v>
      </c>
      <c r="I10" s="195">
        <v>0</v>
      </c>
      <c r="J10" s="195">
        <v>0</v>
      </c>
      <c r="K10" s="195">
        <v>0</v>
      </c>
      <c r="L10" s="419">
        <f>B12/(B7*B18)</f>
        <v>1.9200000000000004E-9</v>
      </c>
      <c r="M10" s="189" t="s">
        <v>281</v>
      </c>
      <c r="N10" s="183"/>
    </row>
    <row r="11" spans="1:18" x14ac:dyDescent="0.25">
      <c r="A11" s="399" t="s">
        <v>342</v>
      </c>
      <c r="B11" s="410">
        <v>200</v>
      </c>
      <c r="C11" s="399" t="s">
        <v>35</v>
      </c>
      <c r="D11" s="397">
        <v>25</v>
      </c>
      <c r="J11" s="82"/>
      <c r="K11" s="164"/>
      <c r="L11" s="164"/>
      <c r="M11" s="164"/>
      <c r="N11" s="164"/>
      <c r="O11" s="164"/>
      <c r="P11" s="165"/>
      <c r="Q11" s="164"/>
      <c r="R11" s="164"/>
    </row>
    <row r="12" spans="1:18" x14ac:dyDescent="0.25">
      <c r="A12" s="102" t="s">
        <v>233</v>
      </c>
      <c r="B12" s="198">
        <v>35</v>
      </c>
      <c r="C12" s="399" t="s">
        <v>375</v>
      </c>
      <c r="D12" s="401">
        <f>D7*D11^2/4</f>
        <v>78125000</v>
      </c>
      <c r="J12" s="82"/>
      <c r="P12" s="150"/>
    </row>
    <row r="13" spans="1:18" x14ac:dyDescent="0.25">
      <c r="A13" s="102" t="s">
        <v>341</v>
      </c>
      <c r="B13" s="82">
        <v>25</v>
      </c>
      <c r="C13" s="399" t="s">
        <v>289</v>
      </c>
      <c r="D13" s="401">
        <f>D7*D11^2/12</f>
        <v>26041666.666666668</v>
      </c>
      <c r="J13" s="82"/>
      <c r="P13" s="150"/>
    </row>
    <row r="14" spans="1:18" x14ac:dyDescent="0.25">
      <c r="A14" s="102" t="s">
        <v>340</v>
      </c>
      <c r="B14" s="178">
        <v>50</v>
      </c>
      <c r="C14" s="399" t="s">
        <v>290</v>
      </c>
      <c r="D14" s="402">
        <f>D13</f>
        <v>26041666.666666668</v>
      </c>
      <c r="J14" s="82"/>
      <c r="P14" s="150"/>
    </row>
    <row r="15" spans="1:18" x14ac:dyDescent="0.25">
      <c r="A15" s="102" t="s">
        <v>271</v>
      </c>
      <c r="C15" s="403" t="s">
        <v>364</v>
      </c>
      <c r="D15" s="397"/>
      <c r="J15" s="82"/>
      <c r="P15" s="150"/>
    </row>
    <row r="16" spans="1:18" x14ac:dyDescent="0.25">
      <c r="A16" s="102" t="s">
        <v>272</v>
      </c>
      <c r="B16" s="98">
        <f>B13*B14</f>
        <v>1250</v>
      </c>
      <c r="C16" s="404" t="s">
        <v>267</v>
      </c>
      <c r="D16" s="397"/>
      <c r="J16" s="82"/>
      <c r="P16" s="150"/>
    </row>
    <row r="17" spans="1:19" x14ac:dyDescent="0.25">
      <c r="A17" s="102" t="s">
        <v>314</v>
      </c>
      <c r="B17" s="98">
        <f>1/12*B14*B13^3</f>
        <v>65104.166666666657</v>
      </c>
      <c r="C17" s="399" t="s">
        <v>269</v>
      </c>
      <c r="D17" s="397">
        <v>18</v>
      </c>
      <c r="J17" s="82"/>
      <c r="P17" s="150"/>
    </row>
    <row r="18" spans="1:19" x14ac:dyDescent="0.25">
      <c r="A18" s="102" t="s">
        <v>315</v>
      </c>
      <c r="B18" s="98">
        <f>1/12*B13*B14^3</f>
        <v>260416.66666666663</v>
      </c>
      <c r="C18" s="399" t="s">
        <v>233</v>
      </c>
      <c r="D18" s="397">
        <v>2500</v>
      </c>
      <c r="J18" s="191"/>
      <c r="P18" s="150"/>
    </row>
    <row r="19" spans="1:19" x14ac:dyDescent="0.25">
      <c r="A19" s="102" t="s">
        <v>235</v>
      </c>
      <c r="B19" s="98">
        <f>1/6*B13^4</f>
        <v>65104.166666666664</v>
      </c>
      <c r="C19" s="399" t="s">
        <v>54</v>
      </c>
      <c r="D19" s="405">
        <v>200000</v>
      </c>
      <c r="J19" s="171"/>
      <c r="K19" s="146"/>
      <c r="N19" s="146"/>
      <c r="O19" s="146"/>
      <c r="P19" s="151"/>
    </row>
    <row r="20" spans="1:19" x14ac:dyDescent="0.25">
      <c r="A20" s="102" t="s">
        <v>333</v>
      </c>
      <c r="B20" s="98">
        <f>B18/B16</f>
        <v>208.33333333333331</v>
      </c>
      <c r="C20" s="399" t="s">
        <v>268</v>
      </c>
      <c r="D20" s="406">
        <f>PI()*D17^2/4*D19/D18</f>
        <v>20357.520395261861</v>
      </c>
      <c r="J20" s="171"/>
      <c r="K20" s="146"/>
      <c r="L20" s="146"/>
      <c r="M20" s="146"/>
      <c r="N20" s="146"/>
      <c r="O20" s="146"/>
      <c r="P20" s="151"/>
    </row>
    <row r="21" spans="1:19" ht="16.5" thickBot="1" x14ac:dyDescent="0.3">
      <c r="A21" s="102" t="s">
        <v>343</v>
      </c>
      <c r="B21" s="98">
        <f>3*B7*B18/B12^3</f>
        <v>1275510.2040816324</v>
      </c>
      <c r="C21" s="407" t="s">
        <v>318</v>
      </c>
      <c r="D21" s="408">
        <v>3</v>
      </c>
      <c r="E21" s="177"/>
      <c r="F21" s="177"/>
      <c r="G21" s="177"/>
      <c r="J21" s="174"/>
      <c r="K21" s="175"/>
      <c r="L21" s="175"/>
      <c r="M21" s="175"/>
      <c r="N21" s="175"/>
      <c r="O21" s="175"/>
      <c r="P21" s="176"/>
      <c r="Q21" s="177"/>
      <c r="R21" s="177"/>
    </row>
    <row r="22" spans="1:19" ht="15.95" customHeight="1" thickBot="1" x14ac:dyDescent="0.3">
      <c r="A22" s="371" t="s">
        <v>349</v>
      </c>
      <c r="B22" s="372"/>
      <c r="C22" s="372"/>
      <c r="D22" s="372"/>
      <c r="E22" s="372"/>
      <c r="F22" s="372"/>
      <c r="G22" s="372"/>
      <c r="H22" s="372"/>
      <c r="I22" s="372"/>
      <c r="J22" s="372"/>
      <c r="K22" s="372"/>
      <c r="L22" s="372"/>
      <c r="M22" s="373"/>
      <c r="N22" s="183"/>
      <c r="O22" s="210"/>
      <c r="P22" s="210"/>
      <c r="Q22" s="210"/>
      <c r="R22" s="210"/>
    </row>
    <row r="23" spans="1:19" ht="31.5" x14ac:dyDescent="0.25">
      <c r="A23" s="276" t="s">
        <v>370</v>
      </c>
      <c r="B23" s="233"/>
      <c r="C23" s="241" t="s">
        <v>265</v>
      </c>
      <c r="D23" s="164"/>
      <c r="E23" s="164"/>
      <c r="F23" s="164"/>
      <c r="G23" s="164"/>
      <c r="H23" s="164"/>
      <c r="I23" s="164"/>
      <c r="J23" s="164"/>
      <c r="K23" s="164"/>
      <c r="L23" s="164"/>
      <c r="M23" s="164"/>
      <c r="O23" s="210"/>
      <c r="P23" s="210"/>
      <c r="Q23" s="210"/>
      <c r="R23" s="210"/>
    </row>
    <row r="24" spans="1:19" x14ac:dyDescent="0.25">
      <c r="A24" s="102" t="s">
        <v>3</v>
      </c>
      <c r="B24" s="107"/>
      <c r="C24" s="155"/>
      <c r="E24" s="320"/>
      <c r="O24" s="210"/>
      <c r="P24" s="210"/>
      <c r="Q24" s="210"/>
      <c r="R24" s="210"/>
    </row>
    <row r="25" spans="1:19" x14ac:dyDescent="0.25">
      <c r="A25" s="218" t="s">
        <v>117</v>
      </c>
      <c r="B25" s="153">
        <f>SUM(H35:S35)+C25</f>
        <v>10000000000</v>
      </c>
      <c r="C25" s="219">
        <v>0</v>
      </c>
      <c r="O25" s="210"/>
      <c r="P25" s="210"/>
      <c r="Q25" s="210"/>
      <c r="R25" s="210"/>
    </row>
    <row r="26" spans="1:19" x14ac:dyDescent="0.25">
      <c r="A26" s="218" t="s">
        <v>118</v>
      </c>
      <c r="B26" s="153">
        <f>SUM(H36:S36)+C26</f>
        <v>10000000000</v>
      </c>
      <c r="C26" s="219">
        <v>0</v>
      </c>
      <c r="G26" s="243" t="s">
        <v>184</v>
      </c>
      <c r="O26" s="210"/>
      <c r="P26" s="210"/>
      <c r="Q26" s="210"/>
      <c r="R26" s="210"/>
    </row>
    <row r="27" spans="1:19" x14ac:dyDescent="0.25">
      <c r="A27" s="218" t="s">
        <v>119</v>
      </c>
      <c r="B27" s="153">
        <f>SUM(H37:S37)+C27</f>
        <v>10000000000</v>
      </c>
      <c r="C27" s="219">
        <v>0</v>
      </c>
      <c r="G27" s="82" t="s">
        <v>124</v>
      </c>
      <c r="O27" s="210"/>
      <c r="P27" s="210"/>
      <c r="Q27" s="210"/>
      <c r="R27" s="210"/>
    </row>
    <row r="28" spans="1:19" x14ac:dyDescent="0.25">
      <c r="A28" s="102" t="s">
        <v>115</v>
      </c>
      <c r="B28" s="107"/>
      <c r="C28" s="200"/>
      <c r="D28" s="88"/>
      <c r="E28" s="88"/>
      <c r="F28" s="88"/>
      <c r="G28" s="213" t="s">
        <v>133</v>
      </c>
      <c r="H28" s="214">
        <v>1</v>
      </c>
      <c r="O28" s="210"/>
      <c r="P28" s="210"/>
      <c r="Q28" s="210"/>
      <c r="R28" s="210"/>
    </row>
    <row r="29" spans="1:19" x14ac:dyDescent="0.25">
      <c r="A29" s="218" t="s">
        <v>8</v>
      </c>
      <c r="B29" s="153">
        <f>SUM(H39:S39)+SUM(H43:S43)+C29</f>
        <v>12250101093750</v>
      </c>
      <c r="C29" s="219">
        <v>0</v>
      </c>
      <c r="D29" s="88"/>
      <c r="E29" s="88"/>
      <c r="F29" s="88"/>
      <c r="H29" s="365" t="s">
        <v>129</v>
      </c>
      <c r="I29" s="365"/>
      <c r="J29" s="365"/>
      <c r="K29" s="365"/>
      <c r="L29" s="365"/>
      <c r="M29" s="365"/>
      <c r="N29" s="365"/>
      <c r="O29" s="365"/>
      <c r="P29" s="365"/>
      <c r="Q29" s="365"/>
      <c r="R29" s="365"/>
      <c r="S29" s="365"/>
    </row>
    <row r="30" spans="1:19" x14ac:dyDescent="0.25">
      <c r="A30" s="218" t="s">
        <v>120</v>
      </c>
      <c r="B30" s="153">
        <f>SUM(H40:S40)+SUM(H44:S44)+C30</f>
        <v>2250033697916.6665</v>
      </c>
      <c r="C30" s="219">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8" t="s">
        <v>116</v>
      </c>
      <c r="B31" s="153">
        <f>SUM(H41:S41)+SUM(H45:S45)+C31</f>
        <v>14500033697916.666</v>
      </c>
      <c r="C31" s="219">
        <v>0</v>
      </c>
      <c r="D31" s="88"/>
      <c r="E31" s="88"/>
      <c r="F31" s="88"/>
      <c r="G31" s="102" t="s">
        <v>42</v>
      </c>
      <c r="H31" s="223">
        <v>15</v>
      </c>
      <c r="I31" s="223">
        <v>0</v>
      </c>
      <c r="J31" s="223">
        <f>I31</f>
        <v>0</v>
      </c>
      <c r="K31" s="223">
        <v>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43</v>
      </c>
      <c r="H32" s="223">
        <v>35</v>
      </c>
      <c r="I32" s="223">
        <v>0</v>
      </c>
      <c r="J32" s="223">
        <v>0</v>
      </c>
      <c r="K32" s="223">
        <v>0</v>
      </c>
      <c r="L32" s="214">
        <v>0</v>
      </c>
      <c r="M32" s="214">
        <v>0</v>
      </c>
      <c r="N32" s="214">
        <v>0</v>
      </c>
      <c r="O32" s="214">
        <v>0</v>
      </c>
      <c r="P32" s="214">
        <v>0</v>
      </c>
      <c r="Q32" s="214">
        <v>0</v>
      </c>
      <c r="R32" s="214">
        <v>0</v>
      </c>
      <c r="S32" s="214">
        <v>0</v>
      </c>
    </row>
    <row r="33" spans="1:19" x14ac:dyDescent="0.25">
      <c r="A33" s="366"/>
      <c r="B33" s="366"/>
      <c r="C33" s="366"/>
      <c r="D33" s="88"/>
      <c r="E33" s="88"/>
      <c r="F33" s="88"/>
      <c r="G33" s="102" t="s">
        <v>44</v>
      </c>
      <c r="H33" s="223">
        <v>0</v>
      </c>
      <c r="I33" s="223">
        <f>H33</f>
        <v>0</v>
      </c>
      <c r="J33" s="223">
        <f>-I33</f>
        <v>0</v>
      </c>
      <c r="K33" s="223">
        <f>J33</f>
        <v>0</v>
      </c>
      <c r="L33" s="214">
        <v>0</v>
      </c>
      <c r="M33" s="214">
        <v>0</v>
      </c>
      <c r="N33" s="214">
        <v>0</v>
      </c>
      <c r="O33" s="214">
        <v>0</v>
      </c>
      <c r="P33" s="214">
        <v>0</v>
      </c>
      <c r="Q33" s="214">
        <v>0</v>
      </c>
      <c r="R33" s="214">
        <v>0</v>
      </c>
      <c r="S33" s="214">
        <v>0</v>
      </c>
    </row>
    <row r="34" spans="1:19" x14ac:dyDescent="0.25">
      <c r="A34" s="366"/>
      <c r="B34" s="366"/>
      <c r="C34" s="366"/>
      <c r="G34" s="82" t="s">
        <v>130</v>
      </c>
      <c r="H34" s="367"/>
      <c r="I34" s="367"/>
      <c r="J34" s="367"/>
      <c r="K34" s="367"/>
    </row>
    <row r="35" spans="1:19" x14ac:dyDescent="0.25">
      <c r="A35" s="221" t="s">
        <v>185</v>
      </c>
      <c r="B35" s="214"/>
      <c r="C35" s="214"/>
      <c r="D35" s="88"/>
      <c r="E35" s="88"/>
      <c r="F35" s="88"/>
      <c r="G35" s="102" t="s">
        <v>117</v>
      </c>
      <c r="H35" s="142">
        <v>10000000000</v>
      </c>
      <c r="I35" s="223">
        <v>0</v>
      </c>
      <c r="J35" s="223">
        <v>0</v>
      </c>
      <c r="K35" s="223">
        <v>0</v>
      </c>
      <c r="L35" s="214">
        <v>0</v>
      </c>
      <c r="M35" s="214">
        <v>0</v>
      </c>
      <c r="N35" s="214">
        <v>0</v>
      </c>
      <c r="O35" s="214">
        <v>0</v>
      </c>
      <c r="P35" s="214">
        <v>0</v>
      </c>
      <c r="Q35" s="214">
        <v>0</v>
      </c>
      <c r="R35" s="214">
        <v>0</v>
      </c>
      <c r="S35" s="214">
        <v>0</v>
      </c>
    </row>
    <row r="36" spans="1:19" x14ac:dyDescent="0.25">
      <c r="A36" s="81" t="s">
        <v>109</v>
      </c>
      <c r="D36" s="88"/>
      <c r="E36" s="88"/>
      <c r="F36" s="88"/>
      <c r="G36" s="102" t="s">
        <v>118</v>
      </c>
      <c r="H36" s="142">
        <f>H35</f>
        <v>10000000000</v>
      </c>
      <c r="I36" s="223">
        <v>0</v>
      </c>
      <c r="J36" s="223">
        <v>0</v>
      </c>
      <c r="K36" s="223">
        <v>0</v>
      </c>
      <c r="L36" s="214">
        <v>0</v>
      </c>
      <c r="M36" s="214">
        <v>0</v>
      </c>
      <c r="N36" s="214">
        <v>0</v>
      </c>
      <c r="O36" s="214">
        <v>0</v>
      </c>
      <c r="P36" s="214">
        <v>0</v>
      </c>
      <c r="Q36" s="214">
        <v>0</v>
      </c>
      <c r="R36" s="214">
        <v>0</v>
      </c>
      <c r="S36" s="214">
        <v>0</v>
      </c>
    </row>
    <row r="37" spans="1:19" x14ac:dyDescent="0.25">
      <c r="A37" s="102" t="s">
        <v>186</v>
      </c>
      <c r="B37" s="214">
        <v>0</v>
      </c>
      <c r="D37" s="88"/>
      <c r="E37" s="88"/>
      <c r="F37" s="88"/>
      <c r="G37" s="102" t="s">
        <v>119</v>
      </c>
      <c r="H37" s="142">
        <f>H36</f>
        <v>10000000000</v>
      </c>
      <c r="I37" s="223">
        <v>0</v>
      </c>
      <c r="J37" s="223">
        <v>0</v>
      </c>
      <c r="K37" s="223">
        <v>0</v>
      </c>
      <c r="L37" s="214">
        <v>0</v>
      </c>
      <c r="M37" s="214">
        <v>0</v>
      </c>
      <c r="N37" s="214">
        <v>0</v>
      </c>
      <c r="O37" s="214">
        <v>0</v>
      </c>
      <c r="P37" s="214">
        <v>0</v>
      </c>
      <c r="Q37" s="214">
        <v>0</v>
      </c>
      <c r="R37" s="214">
        <v>0</v>
      </c>
      <c r="S37" s="214">
        <v>0</v>
      </c>
    </row>
    <row r="38" spans="1:19" x14ac:dyDescent="0.25">
      <c r="A38" s="102" t="s">
        <v>187</v>
      </c>
      <c r="B38" s="214">
        <v>0</v>
      </c>
      <c r="D38" s="88"/>
      <c r="E38" s="88"/>
      <c r="F38" s="88"/>
      <c r="G38" s="82" t="s">
        <v>131</v>
      </c>
      <c r="H38" s="367"/>
      <c r="I38" s="367"/>
      <c r="J38" s="367"/>
      <c r="K38" s="367"/>
    </row>
    <row r="39" spans="1:19" x14ac:dyDescent="0.25">
      <c r="A39" s="102" t="s">
        <v>188</v>
      </c>
      <c r="B39" s="214">
        <v>0</v>
      </c>
      <c r="D39" s="88"/>
      <c r="E39" s="88"/>
      <c r="F39" s="88"/>
      <c r="G39" s="102" t="s">
        <v>8</v>
      </c>
      <c r="H39" s="142">
        <f>'ref bearings, servo, structure'!B10</f>
        <v>101093750</v>
      </c>
      <c r="I39" s="142">
        <v>0</v>
      </c>
      <c r="J39" s="142">
        <f t="shared" ref="J39:K39" si="1">I39</f>
        <v>0</v>
      </c>
      <c r="K39" s="142">
        <f t="shared" si="1"/>
        <v>0</v>
      </c>
      <c r="L39" s="214">
        <v>0</v>
      </c>
      <c r="M39" s="214">
        <v>0</v>
      </c>
      <c r="N39" s="214">
        <v>0</v>
      </c>
      <c r="O39" s="214">
        <v>0</v>
      </c>
      <c r="P39" s="214">
        <v>0</v>
      </c>
      <c r="Q39" s="214">
        <v>0</v>
      </c>
      <c r="R39" s="214">
        <v>0</v>
      </c>
      <c r="S39" s="214">
        <v>0</v>
      </c>
    </row>
    <row r="40" spans="1:19" x14ac:dyDescent="0.25">
      <c r="A40" s="150" t="s">
        <v>110</v>
      </c>
      <c r="D40" s="88"/>
      <c r="E40" s="88"/>
      <c r="F40" s="88"/>
      <c r="G40" s="102" t="s">
        <v>120</v>
      </c>
      <c r="H40" s="142">
        <f>'ref bearings, servo, structure'!B12</f>
        <v>33697916.666666664</v>
      </c>
      <c r="I40" s="142">
        <v>0</v>
      </c>
      <c r="J40" s="142">
        <f t="shared" ref="J40:K41" si="2">I40</f>
        <v>0</v>
      </c>
      <c r="K40" s="142">
        <f t="shared" si="2"/>
        <v>0</v>
      </c>
      <c r="L40" s="214">
        <v>0</v>
      </c>
      <c r="M40" s="214">
        <v>0</v>
      </c>
      <c r="N40" s="214">
        <v>0</v>
      </c>
      <c r="O40" s="214">
        <v>0</v>
      </c>
      <c r="P40" s="214">
        <v>0</v>
      </c>
      <c r="Q40" s="214">
        <v>0</v>
      </c>
      <c r="R40" s="214">
        <v>0</v>
      </c>
      <c r="S40" s="214">
        <v>0</v>
      </c>
    </row>
    <row r="41" spans="1:19" x14ac:dyDescent="0.25">
      <c r="A41" s="102" t="s">
        <v>186</v>
      </c>
      <c r="B41" s="214">
        <v>0</v>
      </c>
      <c r="G41" s="102" t="s">
        <v>116</v>
      </c>
      <c r="H41" s="142">
        <f>'ref bearings, servo, structure'!B11</f>
        <v>33697916.666666664</v>
      </c>
      <c r="I41" s="142">
        <v>0</v>
      </c>
      <c r="J41" s="142">
        <f t="shared" si="2"/>
        <v>0</v>
      </c>
      <c r="K41" s="142">
        <f t="shared" si="2"/>
        <v>0</v>
      </c>
      <c r="L41" s="214">
        <v>0</v>
      </c>
      <c r="M41" s="214">
        <v>0</v>
      </c>
      <c r="N41" s="214">
        <v>0</v>
      </c>
      <c r="O41" s="214">
        <v>0</v>
      </c>
      <c r="P41" s="214">
        <v>0</v>
      </c>
      <c r="Q41" s="214">
        <v>0</v>
      </c>
      <c r="R41" s="214">
        <v>0</v>
      </c>
      <c r="S41" s="214">
        <v>0</v>
      </c>
    </row>
    <row r="42" spans="1:19" x14ac:dyDescent="0.25">
      <c r="A42" s="102" t="s">
        <v>187</v>
      </c>
      <c r="B42" s="214">
        <v>0</v>
      </c>
      <c r="D42" s="217"/>
      <c r="E42" s="217"/>
      <c r="F42" s="217"/>
      <c r="G42" s="82" t="s">
        <v>125</v>
      </c>
    </row>
    <row r="43" spans="1:19" x14ac:dyDescent="0.25">
      <c r="A43" s="102" t="s">
        <v>188</v>
      </c>
      <c r="B43" s="214">
        <v>0</v>
      </c>
      <c r="D43" s="155"/>
      <c r="E43" s="155"/>
      <c r="F43" s="155"/>
      <c r="G43" s="102" t="s">
        <v>8</v>
      </c>
      <c r="H43" s="153">
        <f>H36*H33^2+H37*H32^2</f>
        <v>12250000000000</v>
      </c>
      <c r="I43" s="153">
        <f t="shared" ref="I43:S43" si="3">I36*I33^2+I37*I32^2</f>
        <v>0</v>
      </c>
      <c r="J43" s="153">
        <f t="shared" si="3"/>
        <v>0</v>
      </c>
      <c r="K43" s="153">
        <f t="shared" si="3"/>
        <v>0</v>
      </c>
      <c r="L43" s="105">
        <f t="shared" si="3"/>
        <v>0</v>
      </c>
      <c r="M43" s="105">
        <f t="shared" si="3"/>
        <v>0</v>
      </c>
      <c r="N43" s="105">
        <f t="shared" si="3"/>
        <v>0</v>
      </c>
      <c r="O43" s="105">
        <f t="shared" si="3"/>
        <v>0</v>
      </c>
      <c r="P43" s="105">
        <f t="shared" si="3"/>
        <v>0</v>
      </c>
      <c r="Q43" s="105">
        <f t="shared" si="3"/>
        <v>0</v>
      </c>
      <c r="R43" s="105">
        <f t="shared" si="3"/>
        <v>0</v>
      </c>
      <c r="S43" s="105">
        <f t="shared" si="3"/>
        <v>0</v>
      </c>
    </row>
    <row r="44" spans="1:19" x14ac:dyDescent="0.25">
      <c r="A44" s="215" t="s">
        <v>206</v>
      </c>
      <c r="D44" s="219"/>
      <c r="E44" s="219"/>
      <c r="F44" s="219"/>
      <c r="G44" s="102" t="s">
        <v>120</v>
      </c>
      <c r="H44" s="153">
        <f>H35*H33^2+H37*H31^2</f>
        <v>2250000000000</v>
      </c>
      <c r="I44" s="153">
        <f t="shared" ref="I44:S44" si="4">I35*I33^2+I37*I31^2</f>
        <v>0</v>
      </c>
      <c r="J44" s="153">
        <f t="shared" si="4"/>
        <v>0</v>
      </c>
      <c r="K44" s="153">
        <f t="shared" si="4"/>
        <v>0</v>
      </c>
      <c r="L44" s="105">
        <f t="shared" si="4"/>
        <v>0</v>
      </c>
      <c r="M44" s="105">
        <f t="shared" si="4"/>
        <v>0</v>
      </c>
      <c r="N44" s="105">
        <f t="shared" si="4"/>
        <v>0</v>
      </c>
      <c r="O44" s="105">
        <f t="shared" si="4"/>
        <v>0</v>
      </c>
      <c r="P44" s="105">
        <f t="shared" si="4"/>
        <v>0</v>
      </c>
      <c r="Q44" s="105">
        <f t="shared" si="4"/>
        <v>0</v>
      </c>
      <c r="R44" s="105">
        <f t="shared" si="4"/>
        <v>0</v>
      </c>
      <c r="S44" s="105">
        <f t="shared" si="4"/>
        <v>0</v>
      </c>
    </row>
    <row r="45" spans="1:19" x14ac:dyDescent="0.25">
      <c r="A45" s="102" t="s">
        <v>121</v>
      </c>
      <c r="B45" s="105">
        <f>SQRT((H47^2+I47^2+J47^2+K47^2+L47^2+M47^2+N47^2+O47^2+P47^2+Q47^2+R47^2+S47^2)/H$28)</f>
        <v>0</v>
      </c>
      <c r="C45" s="88"/>
      <c r="D45" s="219"/>
      <c r="E45" s="219"/>
      <c r="F45" s="219"/>
      <c r="G45" s="102" t="s">
        <v>116</v>
      </c>
      <c r="H45" s="153">
        <f>H35*H32^2+H36*H31^2</f>
        <v>14500000000000</v>
      </c>
      <c r="I45" s="153">
        <f t="shared" ref="I45:S45" si="5">I35*I32^2+I36*I31^2</f>
        <v>0</v>
      </c>
      <c r="J45" s="153">
        <f t="shared" si="5"/>
        <v>0</v>
      </c>
      <c r="K45" s="153">
        <f t="shared" si="5"/>
        <v>0</v>
      </c>
      <c r="L45" s="105">
        <f t="shared" si="5"/>
        <v>0</v>
      </c>
      <c r="M45" s="105">
        <f t="shared" si="5"/>
        <v>0</v>
      </c>
      <c r="N45" s="105">
        <f t="shared" si="5"/>
        <v>0</v>
      </c>
      <c r="O45" s="105">
        <f t="shared" si="5"/>
        <v>0</v>
      </c>
      <c r="P45" s="105">
        <f t="shared" si="5"/>
        <v>0</v>
      </c>
      <c r="Q45" s="105">
        <f t="shared" si="5"/>
        <v>0</v>
      </c>
      <c r="R45" s="105">
        <f t="shared" si="5"/>
        <v>0</v>
      </c>
      <c r="S45" s="105">
        <f t="shared" si="5"/>
        <v>0</v>
      </c>
    </row>
    <row r="46" spans="1:19" x14ac:dyDescent="0.25">
      <c r="A46" s="102" t="s">
        <v>122</v>
      </c>
      <c r="B46" s="105">
        <f t="shared" ref="B46:B47" si="6">SQRT((H48^2+I48^2+J48^2+K48^2+L48^2+M48^2+N48^2+O48^2+P48^2+Q48^2+R48^2+S48^2)/H$28)</f>
        <v>0</v>
      </c>
      <c r="C46" s="88"/>
      <c r="D46" s="219"/>
      <c r="E46" s="219"/>
      <c r="F46" s="219"/>
      <c r="G46" s="82" t="s">
        <v>307</v>
      </c>
    </row>
    <row r="47" spans="1:19" x14ac:dyDescent="0.25">
      <c r="A47" s="102" t="s">
        <v>123</v>
      </c>
      <c r="B47" s="105">
        <f t="shared" si="6"/>
        <v>0</v>
      </c>
      <c r="C47" s="88"/>
      <c r="D47" s="200"/>
      <c r="E47" s="200"/>
      <c r="F47" s="200"/>
      <c r="G47" s="102" t="s">
        <v>121</v>
      </c>
      <c r="H47" s="214">
        <v>0</v>
      </c>
      <c r="I47" s="214">
        <v>0</v>
      </c>
      <c r="J47" s="214">
        <v>0</v>
      </c>
      <c r="K47" s="214">
        <v>0</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0</v>
      </c>
      <c r="C48" s="88"/>
      <c r="D48" s="219"/>
      <c r="E48" s="219"/>
      <c r="F48" s="219"/>
      <c r="G48" s="102" t="s">
        <v>122</v>
      </c>
      <c r="H48" s="214">
        <v>0</v>
      </c>
      <c r="I48" s="214">
        <v>0</v>
      </c>
      <c r="J48" s="214">
        <v>0</v>
      </c>
      <c r="K48" s="214">
        <v>0</v>
      </c>
      <c r="L48" s="214">
        <v>0</v>
      </c>
      <c r="M48" s="214">
        <v>0</v>
      </c>
      <c r="N48" s="214">
        <v>0</v>
      </c>
      <c r="O48" s="214">
        <v>0</v>
      </c>
      <c r="P48" s="214">
        <v>0</v>
      </c>
      <c r="Q48" s="214">
        <v>0</v>
      </c>
      <c r="R48" s="214">
        <v>0</v>
      </c>
      <c r="S48" s="214">
        <v>0</v>
      </c>
    </row>
    <row r="49" spans="1:20" x14ac:dyDescent="0.25">
      <c r="A49" s="102" t="s">
        <v>86</v>
      </c>
      <c r="B49" s="105">
        <f>SQRT((H52^2+I52^2+J52^2+K52^2+L52^2+M52^2+N52^2+O52^2+P52^2+Q52^2+R52^2+S52^2+B38^2)/H$28)</f>
        <v>0</v>
      </c>
      <c r="C49" s="88"/>
      <c r="D49" s="219"/>
      <c r="E49" s="219"/>
      <c r="F49" s="219"/>
      <c r="G49" s="102" t="s">
        <v>123</v>
      </c>
      <c r="H49" s="214">
        <v>0</v>
      </c>
      <c r="I49" s="214">
        <v>0</v>
      </c>
      <c r="J49" s="214">
        <v>0</v>
      </c>
      <c r="K49" s="214">
        <v>0</v>
      </c>
      <c r="L49" s="214">
        <v>0</v>
      </c>
      <c r="M49" s="214">
        <v>0</v>
      </c>
      <c r="N49" s="214">
        <v>0</v>
      </c>
      <c r="O49" s="214">
        <v>0</v>
      </c>
      <c r="P49" s="214">
        <v>0</v>
      </c>
      <c r="Q49" s="214">
        <v>0</v>
      </c>
      <c r="R49" s="214">
        <v>0</v>
      </c>
      <c r="S49" s="214">
        <v>0</v>
      </c>
    </row>
    <row r="50" spans="1:20" x14ac:dyDescent="0.25">
      <c r="A50" s="102" t="s">
        <v>87</v>
      </c>
      <c r="B50" s="105">
        <f>SQRT((H53^2+I53^2+J53^2+K53^2+L53^2+M53^2+N53^2+O53^2+P53^2+Q53^2+R53^2+S53^2+B39^2)/H$28)</f>
        <v>0</v>
      </c>
      <c r="C50" s="88"/>
      <c r="D50" s="219"/>
      <c r="E50" s="219"/>
      <c r="F50" s="219"/>
      <c r="G50" s="82" t="s">
        <v>251</v>
      </c>
    </row>
    <row r="51" spans="1:20" ht="47.25" x14ac:dyDescent="0.25">
      <c r="A51" s="216" t="s">
        <v>207</v>
      </c>
      <c r="B51" s="107"/>
      <c r="D51" s="220"/>
      <c r="E51" s="220"/>
      <c r="F51" s="220"/>
      <c r="G51" s="102" t="s">
        <v>85</v>
      </c>
      <c r="H51" s="153">
        <f t="shared" ref="H51:S51" si="7">H98</f>
        <v>0</v>
      </c>
      <c r="I51" s="153">
        <f t="shared" si="7"/>
        <v>0</v>
      </c>
      <c r="J51" s="153">
        <f t="shared" si="7"/>
        <v>0</v>
      </c>
      <c r="K51" s="153">
        <f t="shared" si="7"/>
        <v>0</v>
      </c>
      <c r="L51" s="153">
        <f t="shared" si="7"/>
        <v>0</v>
      </c>
      <c r="M51" s="153">
        <f t="shared" si="7"/>
        <v>0</v>
      </c>
      <c r="N51" s="153">
        <f t="shared" si="7"/>
        <v>0</v>
      </c>
      <c r="O51" s="153">
        <f t="shared" si="7"/>
        <v>0</v>
      </c>
      <c r="P51" s="153">
        <f t="shared" si="7"/>
        <v>0</v>
      </c>
      <c r="Q51" s="153">
        <f t="shared" si="7"/>
        <v>0</v>
      </c>
      <c r="R51" s="153">
        <f t="shared" si="7"/>
        <v>0</v>
      </c>
      <c r="S51" s="153">
        <f t="shared" si="7"/>
        <v>0</v>
      </c>
    </row>
    <row r="52" spans="1:20" x14ac:dyDescent="0.25">
      <c r="A52" s="102" t="s">
        <v>121</v>
      </c>
      <c r="B52" s="105">
        <f>SQRT((H55^2+I55^2+J55^2+K55^2+L55^2+M55^2+N55^2+O55^2+P55^2+Q55^2+R55^2+S55^2)/H$28)</f>
        <v>0</v>
      </c>
      <c r="C52" s="88"/>
      <c r="D52" s="220"/>
      <c r="E52" s="220"/>
      <c r="F52" s="220"/>
      <c r="G52" s="102" t="s">
        <v>86</v>
      </c>
      <c r="H52" s="153">
        <f t="shared" ref="H52:S52" si="8">H102</f>
        <v>0</v>
      </c>
      <c r="I52" s="153">
        <f t="shared" si="8"/>
        <v>0</v>
      </c>
      <c r="J52" s="153">
        <f t="shared" si="8"/>
        <v>0</v>
      </c>
      <c r="K52" s="153">
        <f t="shared" si="8"/>
        <v>0</v>
      </c>
      <c r="L52" s="153">
        <f t="shared" si="8"/>
        <v>0</v>
      </c>
      <c r="M52" s="153">
        <f t="shared" si="8"/>
        <v>0</v>
      </c>
      <c r="N52" s="153">
        <f t="shared" si="8"/>
        <v>0</v>
      </c>
      <c r="O52" s="153">
        <f t="shared" si="8"/>
        <v>0</v>
      </c>
      <c r="P52" s="153">
        <f t="shared" si="8"/>
        <v>0</v>
      </c>
      <c r="Q52" s="153">
        <f t="shared" si="8"/>
        <v>0</v>
      </c>
      <c r="R52" s="153">
        <f t="shared" si="8"/>
        <v>0</v>
      </c>
      <c r="S52" s="153">
        <f t="shared" si="8"/>
        <v>0</v>
      </c>
      <c r="T52" s="83"/>
    </row>
    <row r="53" spans="1:20" x14ac:dyDescent="0.25">
      <c r="A53" s="102" t="s">
        <v>122</v>
      </c>
      <c r="B53" s="105">
        <f t="shared" ref="B53:B54" si="9">SQRT((H56^2+I56^2+J56^2+K56^2+L56^2+M56^2+N56^2+O56^2+P56^2+Q56^2+R56^2+S56^2)/H$28)</f>
        <v>0</v>
      </c>
      <c r="C53" s="88"/>
      <c r="D53" s="220"/>
      <c r="E53" s="220"/>
      <c r="F53" s="220"/>
      <c r="G53" s="102" t="s">
        <v>87</v>
      </c>
      <c r="H53" s="153">
        <f t="shared" ref="H53:S53" si="10">H106</f>
        <v>0</v>
      </c>
      <c r="I53" s="153">
        <f t="shared" si="10"/>
        <v>0</v>
      </c>
      <c r="J53" s="153">
        <f t="shared" si="10"/>
        <v>0</v>
      </c>
      <c r="K53" s="153">
        <f t="shared" si="10"/>
        <v>0</v>
      </c>
      <c r="L53" s="153">
        <f t="shared" si="10"/>
        <v>0</v>
      </c>
      <c r="M53" s="153">
        <f t="shared" si="10"/>
        <v>0</v>
      </c>
      <c r="N53" s="153">
        <f t="shared" si="10"/>
        <v>0</v>
      </c>
      <c r="O53" s="153">
        <f t="shared" si="10"/>
        <v>0</v>
      </c>
      <c r="P53" s="153">
        <f t="shared" si="10"/>
        <v>0</v>
      </c>
      <c r="Q53" s="153">
        <f t="shared" si="10"/>
        <v>0</v>
      </c>
      <c r="R53" s="153">
        <f t="shared" si="10"/>
        <v>0</v>
      </c>
      <c r="S53" s="153">
        <f t="shared" si="10"/>
        <v>0</v>
      </c>
    </row>
    <row r="54" spans="1:20" x14ac:dyDescent="0.25">
      <c r="A54" s="102" t="s">
        <v>123</v>
      </c>
      <c r="B54" s="105">
        <f t="shared" si="9"/>
        <v>0</v>
      </c>
      <c r="C54" s="88"/>
      <c r="D54" s="214"/>
      <c r="E54" s="214"/>
      <c r="F54" s="214"/>
      <c r="G54" s="82" t="s">
        <v>330</v>
      </c>
    </row>
    <row r="55" spans="1:20" x14ac:dyDescent="0.25">
      <c r="A55" s="102" t="s">
        <v>85</v>
      </c>
      <c r="B55" s="105">
        <f>SQRT((H59^2+I59^2+J59^2+K59^2+L59^2+M59^2+N59^2+O59^2+P59^2+Q59^2+R59^2+S59^2+B41^2)/H$28)</f>
        <v>0</v>
      </c>
      <c r="C55" s="88"/>
      <c r="G55" s="102" t="s">
        <v>121</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SQRT((H60^2+I60^2+J60^2+K60^2+L60^2+M60^2+N60^2+O60^2+P60^2+Q60^2+R60^2+S60^2+B42^2)/H$28)</f>
        <v>0</v>
      </c>
      <c r="C56" s="88"/>
      <c r="G56" s="102" t="s">
        <v>122</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SQRT((H61^2+I61^2+J61^2+K61^2+L61^2+M61^2+N61^2+O61^2+P61^2+Q61^2+R61^2+S61^2+B43^2)/H$28)</f>
        <v>0</v>
      </c>
      <c r="C57" s="88"/>
      <c r="G57" s="102" t="s">
        <v>123</v>
      </c>
      <c r="H57" s="214">
        <v>0</v>
      </c>
      <c r="I57" s="214">
        <v>0</v>
      </c>
      <c r="J57" s="214">
        <v>0</v>
      </c>
      <c r="K57" s="214">
        <v>0</v>
      </c>
      <c r="L57" s="214">
        <v>0</v>
      </c>
      <c r="M57" s="214">
        <v>0</v>
      </c>
      <c r="N57" s="214">
        <v>0</v>
      </c>
      <c r="O57" s="214">
        <v>0</v>
      </c>
      <c r="P57" s="214">
        <v>0</v>
      </c>
      <c r="Q57" s="214">
        <v>0</v>
      </c>
      <c r="R57" s="214">
        <v>0</v>
      </c>
      <c r="S57" s="214">
        <v>0</v>
      </c>
    </row>
    <row r="58" spans="1:20" x14ac:dyDescent="0.25">
      <c r="B58" s="107"/>
      <c r="G58" s="82" t="s">
        <v>252</v>
      </c>
    </row>
    <row r="59" spans="1:20" x14ac:dyDescent="0.25">
      <c r="G59" s="102" t="s">
        <v>85</v>
      </c>
      <c r="H59" s="153">
        <f t="shared" ref="H59:S59" si="11">H113</f>
        <v>0</v>
      </c>
      <c r="I59" s="153">
        <f t="shared" si="11"/>
        <v>0</v>
      </c>
      <c r="J59" s="153">
        <f t="shared" si="11"/>
        <v>0</v>
      </c>
      <c r="K59" s="153">
        <f t="shared" si="11"/>
        <v>0</v>
      </c>
      <c r="L59" s="153">
        <f t="shared" si="11"/>
        <v>0</v>
      </c>
      <c r="M59" s="153">
        <f t="shared" si="11"/>
        <v>0</v>
      </c>
      <c r="N59" s="153">
        <f t="shared" si="11"/>
        <v>0</v>
      </c>
      <c r="O59" s="153">
        <f t="shared" si="11"/>
        <v>0</v>
      </c>
      <c r="P59" s="153">
        <f t="shared" si="11"/>
        <v>0</v>
      </c>
      <c r="Q59" s="153">
        <f t="shared" si="11"/>
        <v>0</v>
      </c>
      <c r="R59" s="153">
        <f t="shared" si="11"/>
        <v>0</v>
      </c>
      <c r="S59" s="153">
        <f t="shared" si="11"/>
        <v>0</v>
      </c>
    </row>
    <row r="60" spans="1:20" x14ac:dyDescent="0.25">
      <c r="G60" s="102" t="s">
        <v>86</v>
      </c>
      <c r="H60" s="153">
        <f t="shared" ref="H60:S60" si="12">H118</f>
        <v>0</v>
      </c>
      <c r="I60" s="153">
        <f t="shared" si="12"/>
        <v>0</v>
      </c>
      <c r="J60" s="153">
        <f t="shared" si="12"/>
        <v>0</v>
      </c>
      <c r="K60" s="153">
        <f t="shared" si="12"/>
        <v>0</v>
      </c>
      <c r="L60" s="153">
        <f t="shared" si="12"/>
        <v>0</v>
      </c>
      <c r="M60" s="153">
        <f t="shared" si="12"/>
        <v>0</v>
      </c>
      <c r="N60" s="153">
        <f t="shared" si="12"/>
        <v>0</v>
      </c>
      <c r="O60" s="153">
        <f t="shared" si="12"/>
        <v>0</v>
      </c>
      <c r="P60" s="153">
        <f t="shared" si="12"/>
        <v>0</v>
      </c>
      <c r="Q60" s="153">
        <f t="shared" si="12"/>
        <v>0</v>
      </c>
      <c r="R60" s="153">
        <f t="shared" si="12"/>
        <v>0</v>
      </c>
      <c r="S60" s="153">
        <f t="shared" si="12"/>
        <v>0</v>
      </c>
    </row>
    <row r="61" spans="1:20" x14ac:dyDescent="0.25">
      <c r="G61" s="102" t="s">
        <v>87</v>
      </c>
      <c r="H61" s="153">
        <f t="shared" ref="H61:S61" si="13">H123</f>
        <v>0</v>
      </c>
      <c r="I61" s="153">
        <f t="shared" si="13"/>
        <v>0</v>
      </c>
      <c r="J61" s="153">
        <f t="shared" si="13"/>
        <v>0</v>
      </c>
      <c r="K61" s="153">
        <f t="shared" si="13"/>
        <v>0</v>
      </c>
      <c r="L61" s="153">
        <f t="shared" si="13"/>
        <v>0</v>
      </c>
      <c r="M61" s="153">
        <f t="shared" si="13"/>
        <v>0</v>
      </c>
      <c r="N61" s="153">
        <f t="shared" si="13"/>
        <v>0</v>
      </c>
      <c r="O61" s="153">
        <f t="shared" si="13"/>
        <v>0</v>
      </c>
      <c r="P61" s="153">
        <f t="shared" si="13"/>
        <v>0</v>
      </c>
      <c r="Q61" s="153">
        <f t="shared" si="13"/>
        <v>0</v>
      </c>
      <c r="R61" s="153">
        <f t="shared" si="13"/>
        <v>0</v>
      </c>
      <c r="S61" s="153">
        <f t="shared" si="13"/>
        <v>0</v>
      </c>
    </row>
    <row r="62" spans="1:20" x14ac:dyDescent="0.25">
      <c r="G62" s="215" t="s">
        <v>298</v>
      </c>
    </row>
    <row r="63" spans="1:20" s="155" customFormat="1" x14ac:dyDescent="0.25">
      <c r="G63" s="81"/>
      <c r="H63" s="81"/>
      <c r="I63" s="118"/>
      <c r="J63" s="118"/>
      <c r="K63" s="118"/>
      <c r="L63" s="118"/>
      <c r="M63" s="118"/>
      <c r="N63" s="118"/>
      <c r="O63" s="81"/>
    </row>
    <row r="64" spans="1:20" s="155" customFormat="1" x14ac:dyDescent="0.25">
      <c r="G64" s="119"/>
      <c r="H64" s="353"/>
      <c r="I64" s="223"/>
      <c r="J64" s="223"/>
      <c r="K64" s="223"/>
      <c r="L64" s="223"/>
      <c r="M64" s="223"/>
      <c r="N64" s="223"/>
      <c r="O64" s="118"/>
    </row>
    <row r="65" spans="1:15" s="155" customFormat="1" x14ac:dyDescent="0.25">
      <c r="G65" s="119"/>
      <c r="H65" s="353"/>
      <c r="I65" s="223"/>
      <c r="J65" s="223"/>
      <c r="K65" s="223"/>
      <c r="L65" s="223"/>
      <c r="M65" s="223"/>
      <c r="N65" s="223"/>
      <c r="O65" s="118"/>
    </row>
    <row r="66" spans="1:15" s="155" customFormat="1" x14ac:dyDescent="0.25">
      <c r="G66" s="119"/>
      <c r="H66" s="353"/>
      <c r="I66" s="223"/>
      <c r="J66" s="223"/>
      <c r="K66" s="223"/>
      <c r="L66" s="223"/>
      <c r="M66" s="223"/>
      <c r="N66" s="223"/>
      <c r="O66" s="118"/>
    </row>
    <row r="67" spans="1:15" s="155" customFormat="1" x14ac:dyDescent="0.25">
      <c r="G67" s="119"/>
      <c r="H67" s="353"/>
      <c r="I67" s="223"/>
      <c r="J67" s="223"/>
      <c r="K67" s="223"/>
      <c r="L67" s="223"/>
      <c r="M67" s="223"/>
      <c r="N67" s="223"/>
      <c r="O67" s="118"/>
    </row>
    <row r="68" spans="1:15" s="155" customFormat="1" x14ac:dyDescent="0.25">
      <c r="G68" s="119"/>
      <c r="H68" s="353"/>
      <c r="I68" s="223"/>
      <c r="J68" s="223"/>
      <c r="K68" s="223"/>
      <c r="L68" s="223"/>
      <c r="M68" s="223"/>
      <c r="N68" s="223"/>
      <c r="O68" s="118"/>
    </row>
    <row r="69" spans="1:15" s="155" customFormat="1" x14ac:dyDescent="0.25">
      <c r="G69" s="119"/>
      <c r="H69" s="353"/>
      <c r="I69" s="223"/>
      <c r="J69" s="223"/>
      <c r="K69" s="223"/>
      <c r="L69" s="223"/>
      <c r="M69" s="223"/>
      <c r="N69" s="223"/>
      <c r="O69" s="118"/>
    </row>
    <row r="70" spans="1:15" s="155" customFormat="1" x14ac:dyDescent="0.25">
      <c r="G70" s="119"/>
      <c r="H70" s="197"/>
      <c r="I70" s="223"/>
      <c r="J70" s="223"/>
      <c r="K70" s="223"/>
      <c r="L70" s="223"/>
      <c r="M70" s="223"/>
      <c r="N70" s="223"/>
      <c r="O70" s="118"/>
    </row>
    <row r="71" spans="1:15" s="155" customFormat="1" x14ac:dyDescent="0.25">
      <c r="G71" s="119"/>
      <c r="H71" s="197"/>
      <c r="I71" s="223"/>
      <c r="J71" s="223"/>
      <c r="K71" s="223"/>
      <c r="L71" s="223"/>
      <c r="M71" s="223"/>
      <c r="N71" s="223"/>
      <c r="O71" s="118"/>
    </row>
    <row r="72" spans="1:15" s="155" customFormat="1" x14ac:dyDescent="0.25">
      <c r="G72" s="119"/>
      <c r="H72" s="197"/>
      <c r="I72" s="223"/>
      <c r="J72" s="223"/>
      <c r="K72" s="223"/>
      <c r="L72" s="223"/>
      <c r="M72" s="223"/>
      <c r="N72" s="223"/>
      <c r="O72" s="118"/>
    </row>
    <row r="73" spans="1:15" s="155" customFormat="1" x14ac:dyDescent="0.25">
      <c r="G73" s="119"/>
      <c r="H73" s="197"/>
      <c r="I73" s="223"/>
      <c r="J73" s="223"/>
      <c r="K73" s="223"/>
      <c r="L73" s="223"/>
      <c r="M73" s="223"/>
      <c r="N73" s="223"/>
      <c r="O73" s="118"/>
    </row>
    <row r="74" spans="1:15" s="155" customFormat="1" x14ac:dyDescent="0.25">
      <c r="G74" s="119"/>
      <c r="H74" s="197"/>
      <c r="I74" s="223"/>
      <c r="J74" s="223"/>
      <c r="K74" s="223"/>
      <c r="L74" s="223"/>
      <c r="M74" s="223"/>
      <c r="N74" s="223"/>
      <c r="O74" s="118"/>
    </row>
    <row r="75" spans="1:15" s="155" customFormat="1" x14ac:dyDescent="0.25">
      <c r="G75" s="119"/>
      <c r="H75" s="197"/>
      <c r="I75" s="223"/>
      <c r="J75" s="223"/>
      <c r="K75" s="223"/>
      <c r="L75" s="223"/>
      <c r="M75" s="223"/>
      <c r="N75" s="223"/>
      <c r="O75" s="118"/>
    </row>
    <row r="76" spans="1:15" s="155" customFormat="1" x14ac:dyDescent="0.25">
      <c r="G76" s="119"/>
      <c r="H76" s="197"/>
      <c r="I76" s="223"/>
      <c r="J76" s="223"/>
      <c r="K76" s="223"/>
      <c r="L76" s="223"/>
      <c r="M76" s="223"/>
      <c r="N76" s="223"/>
      <c r="O76" s="118"/>
    </row>
    <row r="77" spans="1:15" s="155" customFormat="1" x14ac:dyDescent="0.25">
      <c r="G77" s="119"/>
      <c r="H77" s="197"/>
      <c r="I77" s="223"/>
      <c r="J77" s="223"/>
      <c r="K77" s="223"/>
      <c r="L77" s="223"/>
      <c r="M77" s="223"/>
      <c r="N77" s="223"/>
      <c r="O77" s="118"/>
    </row>
    <row r="78" spans="1:15" s="155" customFormat="1" x14ac:dyDescent="0.25">
      <c r="G78" s="119"/>
      <c r="H78" s="197"/>
      <c r="I78" s="223"/>
      <c r="J78" s="223"/>
      <c r="K78" s="223"/>
      <c r="L78" s="223"/>
      <c r="M78" s="223"/>
      <c r="N78" s="223"/>
      <c r="O78" s="118"/>
    </row>
    <row r="79" spans="1:15" s="155" customFormat="1" x14ac:dyDescent="0.25">
      <c r="G79" s="119"/>
      <c r="H79" s="197"/>
      <c r="I79" s="223"/>
      <c r="J79" s="223"/>
      <c r="K79" s="223"/>
      <c r="L79" s="223"/>
      <c r="M79" s="223"/>
      <c r="N79" s="223"/>
      <c r="O79" s="118"/>
    </row>
    <row r="80" spans="1:15" s="155" customFormat="1" x14ac:dyDescent="0.25">
      <c r="A80" s="116"/>
      <c r="B80" s="210"/>
      <c r="G80" s="119"/>
      <c r="H80" s="197"/>
      <c r="I80" s="223"/>
      <c r="J80" s="223"/>
      <c r="K80" s="223"/>
      <c r="L80" s="223"/>
      <c r="M80" s="223"/>
      <c r="N80" s="223"/>
      <c r="O80" s="118"/>
    </row>
    <row r="81" spans="1:19" s="155" customFormat="1" x14ac:dyDescent="0.25">
      <c r="A81" s="116"/>
      <c r="B81" s="210"/>
      <c r="G81" s="119"/>
      <c r="H81" s="197"/>
      <c r="I81" s="223"/>
      <c r="J81" s="223"/>
      <c r="K81" s="223"/>
      <c r="L81" s="223"/>
      <c r="M81" s="223"/>
      <c r="N81" s="223"/>
      <c r="O81" s="118"/>
    </row>
    <row r="82" spans="1:19" s="155" customFormat="1" x14ac:dyDescent="0.25">
      <c r="A82" s="116"/>
      <c r="B82" s="210"/>
      <c r="G82" s="119"/>
      <c r="H82" s="197"/>
      <c r="I82" s="223"/>
      <c r="J82" s="223"/>
      <c r="K82" s="223"/>
      <c r="L82" s="223"/>
      <c r="M82" s="223"/>
      <c r="N82" s="223"/>
      <c r="O82" s="118"/>
    </row>
    <row r="83" spans="1:19" s="155" customFormat="1" x14ac:dyDescent="0.25">
      <c r="A83" s="116"/>
      <c r="B83" s="210"/>
      <c r="G83" s="119"/>
      <c r="H83" s="197"/>
      <c r="I83" s="223"/>
      <c r="J83" s="223"/>
      <c r="K83" s="223"/>
      <c r="L83" s="223"/>
      <c r="M83" s="223"/>
      <c r="N83" s="223"/>
      <c r="O83" s="118"/>
    </row>
    <row r="84" spans="1:19" s="155" customFormat="1" x14ac:dyDescent="0.25">
      <c r="A84" s="116"/>
      <c r="B84" s="210"/>
      <c r="G84" s="119"/>
      <c r="H84" s="197"/>
      <c r="I84" s="223"/>
      <c r="J84" s="223"/>
      <c r="K84" s="223"/>
      <c r="L84" s="223"/>
      <c r="M84" s="223"/>
      <c r="N84" s="223"/>
      <c r="O84" s="118"/>
    </row>
    <row r="85" spans="1:19" s="155" customFormat="1" x14ac:dyDescent="0.25">
      <c r="A85" s="116"/>
      <c r="B85" s="210"/>
      <c r="G85" s="119"/>
      <c r="H85" s="197"/>
      <c r="I85" s="223"/>
      <c r="J85" s="223"/>
      <c r="K85" s="223"/>
      <c r="L85" s="223"/>
      <c r="M85" s="223"/>
      <c r="N85" s="223"/>
      <c r="O85" s="118"/>
    </row>
    <row r="86" spans="1:19" s="155" customFormat="1" x14ac:dyDescent="0.25">
      <c r="A86" s="116"/>
      <c r="B86" s="210"/>
      <c r="G86" s="119"/>
      <c r="H86" s="197"/>
      <c r="I86" s="223"/>
      <c r="J86" s="223"/>
      <c r="K86" s="223"/>
      <c r="L86" s="223"/>
      <c r="M86" s="223"/>
      <c r="N86" s="223"/>
      <c r="O86" s="118"/>
    </row>
    <row r="87" spans="1:19" s="155" customFormat="1" x14ac:dyDescent="0.25">
      <c r="A87" s="116"/>
      <c r="B87" s="210"/>
      <c r="G87" s="119"/>
      <c r="H87" s="197"/>
      <c r="I87" s="223"/>
      <c r="J87" s="223"/>
      <c r="K87" s="223"/>
      <c r="L87" s="223"/>
      <c r="M87" s="223"/>
      <c r="N87" s="223"/>
      <c r="O87" s="118"/>
    </row>
    <row r="88" spans="1:19" s="155" customFormat="1" x14ac:dyDescent="0.25">
      <c r="A88" s="116"/>
      <c r="B88" s="210"/>
      <c r="G88" s="119"/>
      <c r="H88" s="197"/>
      <c r="I88" s="223"/>
      <c r="J88" s="223"/>
      <c r="K88" s="223"/>
      <c r="L88" s="223"/>
      <c r="M88" s="223"/>
      <c r="N88" s="223"/>
      <c r="O88" s="118"/>
    </row>
    <row r="89" spans="1:19" s="155" customFormat="1" x14ac:dyDescent="0.25">
      <c r="A89" s="116"/>
      <c r="B89" s="210"/>
      <c r="G89" s="119"/>
      <c r="H89" s="197"/>
      <c r="I89" s="223"/>
      <c r="J89" s="223"/>
      <c r="K89" s="223"/>
      <c r="L89" s="223"/>
      <c r="M89" s="223"/>
      <c r="N89" s="223"/>
      <c r="O89" s="118"/>
    </row>
    <row r="90" spans="1:19" s="155" customFormat="1" x14ac:dyDescent="0.25">
      <c r="A90" s="116"/>
      <c r="B90" s="210"/>
      <c r="G90" s="119"/>
      <c r="H90" s="197"/>
      <c r="I90" s="223"/>
      <c r="J90" s="223"/>
      <c r="K90" s="223"/>
      <c r="L90" s="223"/>
      <c r="M90" s="223"/>
      <c r="N90" s="223"/>
      <c r="O90" s="118"/>
    </row>
    <row r="91" spans="1:19" s="155" customFormat="1" x14ac:dyDescent="0.25">
      <c r="A91" s="116"/>
      <c r="B91" s="210"/>
    </row>
    <row r="92" spans="1:19" s="155" customFormat="1" x14ac:dyDescent="0.25">
      <c r="A92" s="116"/>
      <c r="B92" s="210"/>
    </row>
    <row r="93" spans="1:19" x14ac:dyDescent="0.25">
      <c r="A93" s="116"/>
      <c r="B93" s="210"/>
      <c r="C93" s="155"/>
    </row>
    <row r="94" spans="1:19" x14ac:dyDescent="0.25">
      <c r="A94" s="116"/>
      <c r="B94" s="210"/>
      <c r="C94" s="155"/>
      <c r="G94" s="224" t="s">
        <v>259</v>
      </c>
    </row>
    <row r="95" spans="1:19" x14ac:dyDescent="0.25">
      <c r="A95" s="116"/>
      <c r="B95" s="210"/>
      <c r="C95" s="155"/>
      <c r="G95" s="212"/>
      <c r="H95" s="150" t="s">
        <v>260</v>
      </c>
    </row>
    <row r="96" spans="1:19" x14ac:dyDescent="0.25">
      <c r="A96" s="116"/>
      <c r="B96" s="210"/>
      <c r="C96" s="155"/>
      <c r="G96" s="150" t="s">
        <v>258</v>
      </c>
      <c r="H96" s="81">
        <f t="shared" ref="H96:S96" si="14">H48/ABS(H33+0.000001)</f>
        <v>0</v>
      </c>
      <c r="I96" s="81">
        <f t="shared" si="14"/>
        <v>0</v>
      </c>
      <c r="J96" s="81">
        <f t="shared" si="14"/>
        <v>0</v>
      </c>
      <c r="K96" s="81">
        <f t="shared" si="14"/>
        <v>0</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16"/>
      <c r="B97" s="210"/>
      <c r="C97" s="155"/>
      <c r="G97" s="150" t="s">
        <v>258</v>
      </c>
      <c r="H97" s="81">
        <f t="shared" ref="H97:S97" si="15">H49/ABS(H32+0.000001)</f>
        <v>0</v>
      </c>
      <c r="I97" s="81">
        <f t="shared" si="15"/>
        <v>0</v>
      </c>
      <c r="J97" s="81">
        <f t="shared" si="15"/>
        <v>0</v>
      </c>
      <c r="K97" s="81">
        <f t="shared" si="15"/>
        <v>0</v>
      </c>
      <c r="L97" s="81">
        <f t="shared" si="15"/>
        <v>0</v>
      </c>
      <c r="M97" s="81">
        <f t="shared" si="15"/>
        <v>0</v>
      </c>
      <c r="N97" s="81">
        <f t="shared" si="15"/>
        <v>0</v>
      </c>
      <c r="O97" s="81">
        <f t="shared" si="15"/>
        <v>0</v>
      </c>
      <c r="P97" s="81">
        <f t="shared" si="15"/>
        <v>0</v>
      </c>
      <c r="Q97" s="81">
        <f t="shared" si="15"/>
        <v>0</v>
      </c>
      <c r="R97" s="81">
        <f t="shared" si="15"/>
        <v>0</v>
      </c>
      <c r="S97" s="81">
        <f t="shared" si="15"/>
        <v>0</v>
      </c>
    </row>
    <row r="98" spans="1:19" x14ac:dyDescent="0.25">
      <c r="A98" s="116"/>
      <c r="B98" s="210"/>
      <c r="C98" s="155"/>
      <c r="G98" s="81" t="s">
        <v>256</v>
      </c>
      <c r="H98" s="225">
        <f>IF(MIN(H96,H97)&gt;1,0,MIN(H96,H97))</f>
        <v>0</v>
      </c>
      <c r="I98" s="225">
        <f t="shared" ref="I98:S98" si="16">IF(MIN(I96,I97)&gt;1,0,MIN(I96,I97))</f>
        <v>0</v>
      </c>
      <c r="J98" s="225">
        <f t="shared" si="16"/>
        <v>0</v>
      </c>
      <c r="K98" s="225">
        <f t="shared" si="16"/>
        <v>0</v>
      </c>
      <c r="L98" s="225">
        <f t="shared" si="16"/>
        <v>0</v>
      </c>
      <c r="M98" s="225">
        <f t="shared" si="16"/>
        <v>0</v>
      </c>
      <c r="N98" s="225">
        <f t="shared" si="16"/>
        <v>0</v>
      </c>
      <c r="O98" s="225">
        <f t="shared" si="16"/>
        <v>0</v>
      </c>
      <c r="P98" s="225">
        <f t="shared" si="16"/>
        <v>0</v>
      </c>
      <c r="Q98" s="225">
        <f t="shared" si="16"/>
        <v>0</v>
      </c>
      <c r="R98" s="225">
        <f t="shared" si="16"/>
        <v>0</v>
      </c>
      <c r="S98" s="225">
        <f t="shared" si="16"/>
        <v>0</v>
      </c>
    </row>
    <row r="99" spans="1:19" x14ac:dyDescent="0.25">
      <c r="A99" s="116"/>
      <c r="B99" s="210"/>
      <c r="C99" s="155"/>
      <c r="H99" s="150" t="s">
        <v>261</v>
      </c>
      <c r="I99" s="150"/>
      <c r="J99" s="150"/>
      <c r="K99" s="150"/>
      <c r="L99" s="150"/>
      <c r="M99" s="150"/>
      <c r="N99" s="150"/>
      <c r="O99" s="150"/>
      <c r="P99" s="150"/>
      <c r="Q99" s="150"/>
      <c r="R99" s="150"/>
      <c r="S99" s="150"/>
    </row>
    <row r="100" spans="1:19" s="155" customFormat="1" x14ac:dyDescent="0.25">
      <c r="A100" s="116"/>
      <c r="B100" s="210"/>
      <c r="G100" s="115" t="s">
        <v>258</v>
      </c>
      <c r="H100" s="155">
        <f t="shared" ref="H100:S100" si="17">H49/ABS(H31+0.000001)</f>
        <v>0</v>
      </c>
      <c r="I100" s="155">
        <f t="shared" si="17"/>
        <v>0</v>
      </c>
      <c r="J100" s="155">
        <f t="shared" si="17"/>
        <v>0</v>
      </c>
      <c r="K100" s="155">
        <f t="shared" si="17"/>
        <v>0</v>
      </c>
      <c r="L100" s="155">
        <f t="shared" si="17"/>
        <v>0</v>
      </c>
      <c r="M100" s="155">
        <f t="shared" si="17"/>
        <v>0</v>
      </c>
      <c r="N100" s="155">
        <f t="shared" si="17"/>
        <v>0</v>
      </c>
      <c r="O100" s="155">
        <f t="shared" si="17"/>
        <v>0</v>
      </c>
      <c r="P100" s="155">
        <f t="shared" si="17"/>
        <v>0</v>
      </c>
      <c r="Q100" s="155">
        <f t="shared" si="17"/>
        <v>0</v>
      </c>
      <c r="R100" s="155">
        <f t="shared" si="17"/>
        <v>0</v>
      </c>
      <c r="S100" s="155">
        <f t="shared" si="17"/>
        <v>0</v>
      </c>
    </row>
    <row r="101" spans="1:19" s="155" customFormat="1" x14ac:dyDescent="0.25">
      <c r="A101" s="116"/>
      <c r="B101" s="210"/>
      <c r="G101" s="115" t="s">
        <v>258</v>
      </c>
      <c r="H101" s="226">
        <f t="shared" ref="H101:S101" si="18">H47/ABS(H33+0.000001)</f>
        <v>0</v>
      </c>
      <c r="I101" s="226">
        <f t="shared" si="18"/>
        <v>0</v>
      </c>
      <c r="J101" s="226">
        <f t="shared" si="18"/>
        <v>0</v>
      </c>
      <c r="K101" s="226">
        <f t="shared" si="18"/>
        <v>0</v>
      </c>
      <c r="L101" s="226">
        <f t="shared" si="18"/>
        <v>0</v>
      </c>
      <c r="M101" s="226">
        <f t="shared" si="18"/>
        <v>0</v>
      </c>
      <c r="N101" s="226">
        <f t="shared" si="18"/>
        <v>0</v>
      </c>
      <c r="O101" s="226">
        <f t="shared" si="18"/>
        <v>0</v>
      </c>
      <c r="P101" s="226">
        <f t="shared" si="18"/>
        <v>0</v>
      </c>
      <c r="Q101" s="226">
        <f t="shared" si="18"/>
        <v>0</v>
      </c>
      <c r="R101" s="226">
        <f t="shared" si="18"/>
        <v>0</v>
      </c>
      <c r="S101" s="226">
        <f t="shared" si="18"/>
        <v>0</v>
      </c>
    </row>
    <row r="102" spans="1:19" x14ac:dyDescent="0.25">
      <c r="A102" s="116"/>
      <c r="B102" s="210"/>
      <c r="C102" s="155"/>
      <c r="G102" s="81" t="s">
        <v>256</v>
      </c>
      <c r="H102" s="225">
        <f>IF(MIN(H100,H101)&gt;1,0,MIN(H100,H101))</f>
        <v>0</v>
      </c>
      <c r="I102" s="225">
        <f t="shared" ref="I102:S102" si="19">IF(MIN(I100,I101)&gt;1,0,MIN(I100,I101))</f>
        <v>0</v>
      </c>
      <c r="J102" s="225">
        <f t="shared" si="19"/>
        <v>0</v>
      </c>
      <c r="K102" s="225">
        <f t="shared" si="19"/>
        <v>0</v>
      </c>
      <c r="L102" s="225">
        <f t="shared" si="19"/>
        <v>0</v>
      </c>
      <c r="M102" s="225">
        <f t="shared" si="19"/>
        <v>0</v>
      </c>
      <c r="N102" s="225">
        <f t="shared" si="19"/>
        <v>0</v>
      </c>
      <c r="O102" s="225">
        <f t="shared" si="19"/>
        <v>0</v>
      </c>
      <c r="P102" s="225">
        <f t="shared" si="19"/>
        <v>0</v>
      </c>
      <c r="Q102" s="225">
        <f t="shared" si="19"/>
        <v>0</v>
      </c>
      <c r="R102" s="225">
        <f t="shared" si="19"/>
        <v>0</v>
      </c>
      <c r="S102" s="225">
        <f t="shared" si="19"/>
        <v>0</v>
      </c>
    </row>
    <row r="103" spans="1:19" x14ac:dyDescent="0.25">
      <c r="A103" s="116"/>
      <c r="B103" s="210"/>
      <c r="C103" s="155"/>
      <c r="H103" s="81" t="s">
        <v>262</v>
      </c>
    </row>
    <row r="104" spans="1:19" x14ac:dyDescent="0.25">
      <c r="A104" s="116"/>
      <c r="B104" s="210"/>
      <c r="C104" s="155"/>
      <c r="G104" s="150" t="s">
        <v>258</v>
      </c>
      <c r="H104" s="81">
        <f t="shared" ref="H104:S104" si="20">H48/ABS(H31+0.000001)</f>
        <v>0</v>
      </c>
      <c r="I104" s="81">
        <f t="shared" si="20"/>
        <v>0</v>
      </c>
      <c r="J104" s="81">
        <f t="shared" si="20"/>
        <v>0</v>
      </c>
      <c r="K104" s="81">
        <f t="shared" si="20"/>
        <v>0</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16"/>
      <c r="B105" s="210"/>
      <c r="C105" s="155"/>
      <c r="G105" s="150" t="s">
        <v>258</v>
      </c>
      <c r="H105" s="81">
        <f t="shared" ref="H105:S105" si="21">H47/ABS(H32+0.000001)</f>
        <v>0</v>
      </c>
      <c r="I105" s="81">
        <f t="shared" si="21"/>
        <v>0</v>
      </c>
      <c r="J105" s="81">
        <f t="shared" si="21"/>
        <v>0</v>
      </c>
      <c r="K105" s="81">
        <f t="shared" si="21"/>
        <v>0</v>
      </c>
      <c r="L105" s="81">
        <f t="shared" si="21"/>
        <v>0</v>
      </c>
      <c r="M105" s="81">
        <f t="shared" si="21"/>
        <v>0</v>
      </c>
      <c r="N105" s="81">
        <f t="shared" si="21"/>
        <v>0</v>
      </c>
      <c r="O105" s="81">
        <f t="shared" si="21"/>
        <v>0</v>
      </c>
      <c r="P105" s="81">
        <f t="shared" si="21"/>
        <v>0</v>
      </c>
      <c r="Q105" s="81">
        <f t="shared" si="21"/>
        <v>0</v>
      </c>
      <c r="R105" s="81">
        <f t="shared" si="21"/>
        <v>0</v>
      </c>
      <c r="S105" s="81">
        <f t="shared" si="21"/>
        <v>0</v>
      </c>
    </row>
    <row r="106" spans="1:19" x14ac:dyDescent="0.25">
      <c r="A106" s="116"/>
      <c r="B106" s="210"/>
      <c r="C106" s="155"/>
      <c r="G106" s="81" t="s">
        <v>256</v>
      </c>
      <c r="H106" s="225">
        <f>IF(MIN(H104,H105)&gt;1,0,MIN(H104,H105))</f>
        <v>0</v>
      </c>
      <c r="I106" s="225">
        <f t="shared" ref="I106:S106" si="22">IF(MIN(I104,I105)&gt;1,0,MIN(I104,I105))</f>
        <v>0</v>
      </c>
      <c r="J106" s="225">
        <f t="shared" si="22"/>
        <v>0</v>
      </c>
      <c r="K106" s="225">
        <f t="shared" si="22"/>
        <v>0</v>
      </c>
      <c r="L106" s="225">
        <f t="shared" si="22"/>
        <v>0</v>
      </c>
      <c r="M106" s="225">
        <f t="shared" si="22"/>
        <v>0</v>
      </c>
      <c r="N106" s="225">
        <f t="shared" si="22"/>
        <v>0</v>
      </c>
      <c r="O106" s="225">
        <f t="shared" si="22"/>
        <v>0</v>
      </c>
      <c r="P106" s="225">
        <f t="shared" si="22"/>
        <v>0</v>
      </c>
      <c r="Q106" s="225">
        <f t="shared" si="22"/>
        <v>0</v>
      </c>
      <c r="R106" s="225">
        <f t="shared" si="22"/>
        <v>0</v>
      </c>
      <c r="S106" s="225">
        <f t="shared" si="22"/>
        <v>0</v>
      </c>
    </row>
    <row r="107" spans="1:19" x14ac:dyDescent="0.25">
      <c r="A107" s="116"/>
      <c r="B107" s="210"/>
      <c r="C107" s="155"/>
    </row>
    <row r="108" spans="1:19" x14ac:dyDescent="0.25">
      <c r="A108" s="116"/>
      <c r="B108" s="210"/>
      <c r="C108" s="155"/>
      <c r="G108" s="224" t="s">
        <v>308</v>
      </c>
      <c r="H108" s="224"/>
      <c r="I108" s="224"/>
      <c r="J108" s="224"/>
      <c r="K108" s="224"/>
      <c r="L108" s="224"/>
      <c r="M108" s="224"/>
      <c r="N108" s="224"/>
      <c r="O108" s="224"/>
      <c r="P108" s="224"/>
    </row>
    <row r="109" spans="1:19" x14ac:dyDescent="0.25">
      <c r="A109" s="116"/>
      <c r="B109" s="210"/>
      <c r="C109" s="155"/>
      <c r="H109" s="102" t="s">
        <v>253</v>
      </c>
      <c r="I109" s="102"/>
      <c r="J109" s="102"/>
      <c r="K109" s="102"/>
      <c r="L109" s="102"/>
      <c r="M109" s="102"/>
      <c r="N109" s="102"/>
      <c r="O109" s="102"/>
      <c r="P109" s="102"/>
      <c r="Q109" s="102"/>
      <c r="R109" s="102"/>
      <c r="S109" s="102"/>
    </row>
    <row r="110" spans="1:19" x14ac:dyDescent="0.25">
      <c r="G110" s="150" t="s">
        <v>258</v>
      </c>
      <c r="H110" s="225">
        <f t="shared" ref="H110:S110" si="23">H56/(H33+0.000001)</f>
        <v>0</v>
      </c>
      <c r="I110" s="225">
        <f t="shared" si="23"/>
        <v>0</v>
      </c>
      <c r="J110" s="225">
        <f t="shared" si="23"/>
        <v>0</v>
      </c>
      <c r="K110" s="225">
        <f t="shared" si="23"/>
        <v>0</v>
      </c>
      <c r="L110" s="225">
        <f t="shared" si="23"/>
        <v>0</v>
      </c>
      <c r="M110" s="225">
        <f t="shared" si="23"/>
        <v>0</v>
      </c>
      <c r="N110" s="225">
        <f t="shared" si="23"/>
        <v>0</v>
      </c>
      <c r="O110" s="225">
        <f t="shared" si="23"/>
        <v>0</v>
      </c>
      <c r="P110" s="225">
        <f t="shared" si="23"/>
        <v>0</v>
      </c>
      <c r="Q110" s="225">
        <f t="shared" si="23"/>
        <v>0</v>
      </c>
      <c r="R110" s="225">
        <f t="shared" si="23"/>
        <v>0</v>
      </c>
      <c r="S110" s="225">
        <f t="shared" si="23"/>
        <v>0</v>
      </c>
    </row>
    <row r="111" spans="1:19" x14ac:dyDescent="0.25">
      <c r="G111" s="150" t="s">
        <v>258</v>
      </c>
      <c r="H111" s="227">
        <f t="shared" ref="H111:S111" si="24">H57/(H32+0.000001)</f>
        <v>0</v>
      </c>
      <c r="I111" s="227">
        <f t="shared" si="24"/>
        <v>0</v>
      </c>
      <c r="J111" s="227">
        <f t="shared" si="24"/>
        <v>0</v>
      </c>
      <c r="K111" s="227">
        <f t="shared" si="24"/>
        <v>0</v>
      </c>
      <c r="L111" s="227">
        <f t="shared" si="24"/>
        <v>0</v>
      </c>
      <c r="M111" s="227">
        <f t="shared" si="24"/>
        <v>0</v>
      </c>
      <c r="N111" s="227">
        <f t="shared" si="24"/>
        <v>0</v>
      </c>
      <c r="O111" s="227">
        <f t="shared" si="24"/>
        <v>0</v>
      </c>
      <c r="P111" s="227">
        <f t="shared" si="24"/>
        <v>0</v>
      </c>
      <c r="Q111" s="227">
        <f t="shared" si="24"/>
        <v>0</v>
      </c>
      <c r="R111" s="227">
        <f t="shared" si="24"/>
        <v>0</v>
      </c>
      <c r="S111" s="227">
        <f t="shared" si="24"/>
        <v>0</v>
      </c>
    </row>
    <row r="112" spans="1:19" x14ac:dyDescent="0.25">
      <c r="G112" s="81" t="s">
        <v>257</v>
      </c>
      <c r="H112" s="144">
        <f>SIGN(H110+0.000000000001)*SIGN(H111+0.000000000001)</f>
        <v>1</v>
      </c>
      <c r="I112" s="144">
        <f t="shared" ref="I112:S112" si="25">SIGN(I110+0.000000000001)*SIGN(I111+0.000000000001)</f>
        <v>1</v>
      </c>
      <c r="J112" s="144">
        <f t="shared" si="25"/>
        <v>1</v>
      </c>
      <c r="K112" s="144">
        <f t="shared" si="25"/>
        <v>1</v>
      </c>
      <c r="L112" s="144">
        <f t="shared" si="25"/>
        <v>1</v>
      </c>
      <c r="M112" s="144">
        <f t="shared" si="25"/>
        <v>1</v>
      </c>
      <c r="N112" s="144">
        <f t="shared" si="25"/>
        <v>1</v>
      </c>
      <c r="O112" s="144">
        <f t="shared" si="25"/>
        <v>1</v>
      </c>
      <c r="P112" s="144">
        <f t="shared" si="25"/>
        <v>1</v>
      </c>
      <c r="Q112" s="144">
        <f t="shared" si="25"/>
        <v>1</v>
      </c>
      <c r="R112" s="144">
        <f t="shared" si="25"/>
        <v>1</v>
      </c>
      <c r="S112" s="144">
        <f t="shared" si="25"/>
        <v>1</v>
      </c>
    </row>
    <row r="113" spans="1:19" x14ac:dyDescent="0.25">
      <c r="G113" s="81" t="s">
        <v>256</v>
      </c>
      <c r="H113" s="225">
        <f>IF(H112*MIN(ABS(H110),ABS(H111))&gt;1,0,H112*MIN(ABS(H110),ABS(H111)))</f>
        <v>0</v>
      </c>
      <c r="I113" s="225">
        <f t="shared" ref="I113:S113" si="26">IF(I112*MIN(ABS(I110),ABS(I111))&gt;1,0,I112*MIN(ABS(I110),ABS(I111)))</f>
        <v>0</v>
      </c>
      <c r="J113" s="225">
        <f t="shared" si="26"/>
        <v>0</v>
      </c>
      <c r="K113" s="225">
        <f t="shared" si="26"/>
        <v>0</v>
      </c>
      <c r="L113" s="225">
        <f t="shared" si="26"/>
        <v>0</v>
      </c>
      <c r="M113" s="225">
        <f t="shared" si="26"/>
        <v>0</v>
      </c>
      <c r="N113" s="225">
        <f t="shared" si="26"/>
        <v>0</v>
      </c>
      <c r="O113" s="225">
        <f t="shared" si="26"/>
        <v>0</v>
      </c>
      <c r="P113" s="225">
        <f t="shared" si="26"/>
        <v>0</v>
      </c>
      <c r="Q113" s="225">
        <f t="shared" si="26"/>
        <v>0</v>
      </c>
      <c r="R113" s="225">
        <f t="shared" si="26"/>
        <v>0</v>
      </c>
      <c r="S113" s="225">
        <f t="shared" si="26"/>
        <v>0</v>
      </c>
    </row>
    <row r="114" spans="1:19" x14ac:dyDescent="0.25">
      <c r="H114" s="102" t="s">
        <v>254</v>
      </c>
      <c r="I114" s="102"/>
      <c r="J114" s="102"/>
      <c r="K114" s="102"/>
      <c r="L114" s="102"/>
      <c r="M114" s="102"/>
      <c r="N114" s="102"/>
      <c r="O114" s="102"/>
      <c r="P114" s="102"/>
      <c r="Q114" s="102"/>
      <c r="R114" s="102"/>
      <c r="S114" s="102"/>
    </row>
    <row r="115" spans="1:19" s="155" customFormat="1" x14ac:dyDescent="0.25">
      <c r="A115" s="81"/>
      <c r="B115" s="81"/>
      <c r="C115" s="81"/>
      <c r="G115" s="115" t="s">
        <v>258</v>
      </c>
      <c r="H115" s="155">
        <f t="shared" ref="H115:S115" si="27">-H57/(H31+0.000001)</f>
        <v>0</v>
      </c>
      <c r="I115" s="155">
        <f t="shared" si="27"/>
        <v>0</v>
      </c>
      <c r="J115" s="155">
        <f t="shared" si="27"/>
        <v>0</v>
      </c>
      <c r="K115" s="155">
        <f t="shared" si="27"/>
        <v>0</v>
      </c>
      <c r="L115" s="155">
        <f t="shared" si="27"/>
        <v>0</v>
      </c>
      <c r="M115" s="155">
        <f t="shared" si="27"/>
        <v>0</v>
      </c>
      <c r="N115" s="155">
        <f t="shared" si="27"/>
        <v>0</v>
      </c>
      <c r="O115" s="155">
        <f t="shared" si="27"/>
        <v>0</v>
      </c>
      <c r="P115" s="155">
        <f t="shared" si="27"/>
        <v>0</v>
      </c>
      <c r="Q115" s="155">
        <f t="shared" si="27"/>
        <v>0</v>
      </c>
      <c r="R115" s="155">
        <f t="shared" si="27"/>
        <v>0</v>
      </c>
      <c r="S115" s="155">
        <f t="shared" si="27"/>
        <v>0</v>
      </c>
    </row>
    <row r="116" spans="1:19" s="155" customFormat="1" x14ac:dyDescent="0.25">
      <c r="A116" s="81"/>
      <c r="B116" s="81"/>
      <c r="C116" s="81"/>
      <c r="G116" s="115" t="s">
        <v>258</v>
      </c>
      <c r="H116" s="155">
        <f t="shared" ref="H116:S116" si="28">H55/(H33+0.000001)</f>
        <v>0</v>
      </c>
      <c r="I116" s="155">
        <f t="shared" si="28"/>
        <v>0</v>
      </c>
      <c r="J116" s="155">
        <f t="shared" si="28"/>
        <v>0</v>
      </c>
      <c r="K116" s="155">
        <f t="shared" si="28"/>
        <v>0</v>
      </c>
      <c r="L116" s="155">
        <f t="shared" si="28"/>
        <v>0</v>
      </c>
      <c r="M116" s="155">
        <f t="shared" si="28"/>
        <v>0</v>
      </c>
      <c r="N116" s="155">
        <f t="shared" si="28"/>
        <v>0</v>
      </c>
      <c r="O116" s="155">
        <f t="shared" si="28"/>
        <v>0</v>
      </c>
      <c r="P116" s="155">
        <f t="shared" si="28"/>
        <v>0</v>
      </c>
      <c r="Q116" s="155">
        <f t="shared" si="28"/>
        <v>0</v>
      </c>
      <c r="R116" s="155">
        <f t="shared" si="28"/>
        <v>0</v>
      </c>
      <c r="S116" s="155">
        <f t="shared" si="28"/>
        <v>0</v>
      </c>
    </row>
    <row r="117" spans="1:19" s="155" customFormat="1" x14ac:dyDescent="0.25">
      <c r="G117" s="155" t="s">
        <v>257</v>
      </c>
      <c r="H117" s="228">
        <f>SIGN(H115+0.000000000001)*SIGN(H116+0.000000000001)</f>
        <v>1</v>
      </c>
      <c r="I117" s="228">
        <f t="shared" ref="I117:S117" si="29">SIGN(I115+0.000000000001)*SIGN(I116+0.000000000001)</f>
        <v>1</v>
      </c>
      <c r="J117" s="228">
        <f t="shared" si="29"/>
        <v>1</v>
      </c>
      <c r="K117" s="228">
        <f t="shared" si="29"/>
        <v>1</v>
      </c>
      <c r="L117" s="228">
        <f t="shared" si="29"/>
        <v>1</v>
      </c>
      <c r="M117" s="228">
        <f t="shared" si="29"/>
        <v>1</v>
      </c>
      <c r="N117" s="228">
        <f t="shared" si="29"/>
        <v>1</v>
      </c>
      <c r="O117" s="228">
        <f t="shared" si="29"/>
        <v>1</v>
      </c>
      <c r="P117" s="228">
        <f t="shared" si="29"/>
        <v>1</v>
      </c>
      <c r="Q117" s="228">
        <f t="shared" si="29"/>
        <v>1</v>
      </c>
      <c r="R117" s="228">
        <f t="shared" si="29"/>
        <v>1</v>
      </c>
      <c r="S117" s="228">
        <f t="shared" si="29"/>
        <v>1</v>
      </c>
    </row>
    <row r="118" spans="1:19" s="155" customFormat="1" x14ac:dyDescent="0.25">
      <c r="G118" s="155" t="s">
        <v>256</v>
      </c>
      <c r="H118" s="229">
        <f>IF(H117*MIN(ABS(H115),ABS(H116))&gt;1,0,H117*MIN(ABS(H115),ABS(H116)))</f>
        <v>0</v>
      </c>
      <c r="I118" s="229">
        <f t="shared" ref="I118:S118" si="30">IF(I117*MIN(ABS(I115),ABS(I116))&gt;1,0,I117*MIN(ABS(I115),ABS(I116)))</f>
        <v>0</v>
      </c>
      <c r="J118" s="229">
        <f t="shared" si="30"/>
        <v>0</v>
      </c>
      <c r="K118" s="229">
        <f t="shared" si="30"/>
        <v>0</v>
      </c>
      <c r="L118" s="229">
        <f t="shared" si="30"/>
        <v>0</v>
      </c>
      <c r="M118" s="229">
        <f t="shared" si="30"/>
        <v>0</v>
      </c>
      <c r="N118" s="229">
        <f t="shared" si="30"/>
        <v>0</v>
      </c>
      <c r="O118" s="229">
        <f t="shared" si="30"/>
        <v>0</v>
      </c>
      <c r="P118" s="229">
        <f t="shared" si="30"/>
        <v>0</v>
      </c>
      <c r="Q118" s="229">
        <f t="shared" si="30"/>
        <v>0</v>
      </c>
      <c r="R118" s="229">
        <f t="shared" si="30"/>
        <v>0</v>
      </c>
      <c r="S118" s="229">
        <f t="shared" si="30"/>
        <v>0</v>
      </c>
    </row>
    <row r="119" spans="1:19" x14ac:dyDescent="0.25">
      <c r="H119" s="102" t="s">
        <v>255</v>
      </c>
      <c r="I119" s="102"/>
      <c r="J119" s="102"/>
      <c r="K119" s="102"/>
      <c r="L119" s="102"/>
      <c r="M119" s="102"/>
      <c r="N119" s="102"/>
      <c r="O119" s="102"/>
      <c r="P119" s="102"/>
      <c r="Q119" s="102"/>
      <c r="R119" s="102"/>
      <c r="S119" s="102"/>
    </row>
    <row r="120" spans="1:19" x14ac:dyDescent="0.25">
      <c r="B120" s="254"/>
      <c r="G120" s="150" t="s">
        <v>258</v>
      </c>
      <c r="H120" s="225">
        <f t="shared" ref="H120:S120" si="31">H56/(H31+0.000001)</f>
        <v>0</v>
      </c>
      <c r="I120" s="225">
        <f t="shared" si="31"/>
        <v>0</v>
      </c>
      <c r="J120" s="225">
        <f t="shared" si="31"/>
        <v>0</v>
      </c>
      <c r="K120" s="225">
        <f t="shared" si="31"/>
        <v>0</v>
      </c>
      <c r="L120" s="225">
        <f t="shared" si="31"/>
        <v>0</v>
      </c>
      <c r="M120" s="225">
        <f t="shared" si="31"/>
        <v>0</v>
      </c>
      <c r="N120" s="225">
        <f t="shared" si="31"/>
        <v>0</v>
      </c>
      <c r="O120" s="225">
        <f t="shared" si="31"/>
        <v>0</v>
      </c>
      <c r="P120" s="225">
        <f t="shared" si="31"/>
        <v>0</v>
      </c>
      <c r="Q120" s="225">
        <f t="shared" si="31"/>
        <v>0</v>
      </c>
      <c r="R120" s="225">
        <f t="shared" si="31"/>
        <v>0</v>
      </c>
      <c r="S120" s="225">
        <f t="shared" si="31"/>
        <v>0</v>
      </c>
    </row>
    <row r="121" spans="1:19" x14ac:dyDescent="0.25">
      <c r="G121" s="150" t="s">
        <v>258</v>
      </c>
      <c r="H121" s="81">
        <f t="shared" ref="H121:S121" si="32">H55/(H32+0.000001)</f>
        <v>0</v>
      </c>
      <c r="I121" s="81">
        <f t="shared" si="32"/>
        <v>0</v>
      </c>
      <c r="J121" s="81">
        <f t="shared" si="32"/>
        <v>0</v>
      </c>
      <c r="K121" s="81">
        <f t="shared" si="32"/>
        <v>0</v>
      </c>
      <c r="L121" s="81">
        <f t="shared" si="32"/>
        <v>0</v>
      </c>
      <c r="M121" s="81">
        <f t="shared" si="32"/>
        <v>0</v>
      </c>
      <c r="N121" s="81">
        <f t="shared" si="32"/>
        <v>0</v>
      </c>
      <c r="O121" s="81">
        <f t="shared" si="32"/>
        <v>0</v>
      </c>
      <c r="P121" s="81">
        <f t="shared" si="32"/>
        <v>0</v>
      </c>
      <c r="Q121" s="81">
        <f t="shared" si="32"/>
        <v>0</v>
      </c>
      <c r="R121" s="81">
        <f t="shared" si="32"/>
        <v>0</v>
      </c>
      <c r="S121" s="81">
        <f t="shared" si="32"/>
        <v>0</v>
      </c>
    </row>
    <row r="122" spans="1:19" x14ac:dyDescent="0.25">
      <c r="G122" s="81" t="s">
        <v>257</v>
      </c>
      <c r="H122" s="144">
        <f>SIGN(H120+0.000000000001)*SIGN(H121+0.000000000001)</f>
        <v>1</v>
      </c>
      <c r="I122" s="144">
        <f t="shared" ref="I122:S122" si="33">SIGN(I120+0.000000000001)*SIGN(I121+0.000000000001)</f>
        <v>1</v>
      </c>
      <c r="J122" s="144">
        <f t="shared" si="33"/>
        <v>1</v>
      </c>
      <c r="K122" s="144">
        <f t="shared" si="33"/>
        <v>1</v>
      </c>
      <c r="L122" s="144">
        <f t="shared" si="33"/>
        <v>1</v>
      </c>
      <c r="M122" s="144">
        <f t="shared" si="33"/>
        <v>1</v>
      </c>
      <c r="N122" s="144">
        <f t="shared" si="33"/>
        <v>1</v>
      </c>
      <c r="O122" s="144">
        <f t="shared" si="33"/>
        <v>1</v>
      </c>
      <c r="P122" s="144">
        <f t="shared" si="33"/>
        <v>1</v>
      </c>
      <c r="Q122" s="144">
        <f t="shared" si="33"/>
        <v>1</v>
      </c>
      <c r="R122" s="144">
        <f t="shared" si="33"/>
        <v>1</v>
      </c>
      <c r="S122" s="144">
        <f t="shared" si="33"/>
        <v>1</v>
      </c>
    </row>
    <row r="123" spans="1:19" x14ac:dyDescent="0.25">
      <c r="G123" s="81" t="s">
        <v>256</v>
      </c>
      <c r="H123" s="225">
        <f>IF(H122*MIN(ABS(H120),ABS(H121))&gt;1,0,H122*MIN(ABS(H120),ABS(H121)))</f>
        <v>0</v>
      </c>
      <c r="I123" s="225">
        <f t="shared" ref="I123:S123" si="34">IF(I122*MIN(ABS(I120),ABS(I121))&gt;1,0,I122*MIN(ABS(I120),ABS(I121)))</f>
        <v>0</v>
      </c>
      <c r="J123" s="225">
        <f t="shared" si="34"/>
        <v>0</v>
      </c>
      <c r="K123" s="225">
        <f t="shared" si="34"/>
        <v>0</v>
      </c>
      <c r="L123" s="225">
        <f t="shared" si="34"/>
        <v>0</v>
      </c>
      <c r="M123" s="225">
        <f t="shared" si="34"/>
        <v>0</v>
      </c>
      <c r="N123" s="225">
        <f t="shared" si="34"/>
        <v>0</v>
      </c>
      <c r="O123" s="225">
        <f t="shared" si="34"/>
        <v>0</v>
      </c>
      <c r="P123" s="225">
        <f t="shared" si="34"/>
        <v>0</v>
      </c>
      <c r="Q123" s="225">
        <f t="shared" si="34"/>
        <v>0</v>
      </c>
      <c r="R123" s="225">
        <f t="shared" si="34"/>
        <v>0</v>
      </c>
      <c r="S123" s="225">
        <f t="shared" si="34"/>
        <v>0</v>
      </c>
    </row>
    <row r="132" spans="1:3" x14ac:dyDescent="0.25">
      <c r="A132" s="155"/>
      <c r="B132" s="155"/>
      <c r="C132" s="155"/>
    </row>
    <row r="133" spans="1:3" x14ac:dyDescent="0.25">
      <c r="A133" s="155"/>
      <c r="B133" s="155"/>
      <c r="C133" s="155"/>
    </row>
    <row r="134" spans="1:3" x14ac:dyDescent="0.25">
      <c r="A134" s="155"/>
      <c r="B134" s="155"/>
      <c r="C134" s="155"/>
    </row>
    <row r="135" spans="1:3" x14ac:dyDescent="0.25">
      <c r="A135" s="155"/>
      <c r="B135" s="155"/>
      <c r="C135" s="155"/>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6"/>
  <sheetViews>
    <sheetView topLeftCell="C1" zoomScaleNormal="100" zoomScalePageLayoutView="75" workbookViewId="0">
      <selection activeCell="F25" sqref="F25"/>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6" t="str">
        <f>'CSs and Loads'!A78</f>
        <v>CS 3</v>
      </c>
      <c r="B1" s="206" t="str">
        <f>'CSs and Loads'!A88</f>
        <v>Y stage</v>
      </c>
    </row>
    <row r="2" spans="1:18" ht="16.5" thickBot="1" x14ac:dyDescent="0.3">
      <c r="A2" s="82" t="s">
        <v>132</v>
      </c>
      <c r="E2" s="177"/>
      <c r="F2" s="177"/>
      <c r="G2" s="177"/>
      <c r="H2" s="177"/>
      <c r="I2" s="243"/>
      <c r="J2" s="177"/>
      <c r="K2" s="177"/>
      <c r="L2" s="244"/>
      <c r="M2" s="244"/>
      <c r="N2" s="208"/>
    </row>
    <row r="3" spans="1:18" x14ac:dyDescent="0.25">
      <c r="A3" s="209" t="s">
        <v>111</v>
      </c>
      <c r="D3" s="242"/>
      <c r="F3" s="82" t="s">
        <v>409</v>
      </c>
      <c r="H3" s="291" t="s">
        <v>368</v>
      </c>
      <c r="I3" s="292"/>
      <c r="J3" s="292"/>
      <c r="K3" s="292"/>
      <c r="L3" s="292"/>
      <c r="M3" s="293"/>
      <c r="N3" s="183"/>
      <c r="O3" s="210"/>
      <c r="P3" s="210"/>
      <c r="Q3" s="210"/>
      <c r="R3" s="210"/>
    </row>
    <row r="4" spans="1:18" x14ac:dyDescent="0.25">
      <c r="A4" s="82" t="s">
        <v>319</v>
      </c>
      <c r="B4" s="118" t="s">
        <v>389</v>
      </c>
      <c r="C4" s="297" t="s">
        <v>365</v>
      </c>
      <c r="D4" s="298"/>
      <c r="F4" s="82">
        <v>1.2E-2</v>
      </c>
      <c r="G4" s="81" t="s">
        <v>391</v>
      </c>
      <c r="H4" s="323" t="s">
        <v>418</v>
      </c>
      <c r="I4" s="211"/>
      <c r="J4" s="211"/>
      <c r="K4" s="211"/>
      <c r="L4" s="211"/>
      <c r="M4" s="248"/>
      <c r="N4" s="183"/>
      <c r="R4" s="210"/>
    </row>
    <row r="5" spans="1:18" x14ac:dyDescent="0.25">
      <c r="A5" s="114" t="s">
        <v>335</v>
      </c>
      <c r="B5" s="118" t="s">
        <v>419</v>
      </c>
      <c r="C5" s="299" t="s">
        <v>363</v>
      </c>
      <c r="D5" s="298">
        <v>25</v>
      </c>
      <c r="F5" s="82">
        <v>5.0000000000000001E-4</v>
      </c>
      <c r="G5" s="81" t="s">
        <v>392</v>
      </c>
      <c r="H5" s="184" t="s">
        <v>282</v>
      </c>
      <c r="I5" s="249" t="s">
        <v>285</v>
      </c>
      <c r="J5" s="148">
        <f>B11^3/(3*B7*B18)</f>
        <v>0</v>
      </c>
      <c r="K5" s="81">
        <v>0</v>
      </c>
      <c r="L5" s="81">
        <v>0</v>
      </c>
      <c r="M5" s="81">
        <v>0</v>
      </c>
      <c r="N5" s="81">
        <f>J9</f>
        <v>0</v>
      </c>
      <c r="O5" s="81">
        <v>0</v>
      </c>
      <c r="P5" s="185" t="s">
        <v>276</v>
      </c>
      <c r="R5" s="210"/>
    </row>
    <row r="6" spans="1:18" x14ac:dyDescent="0.25">
      <c r="A6" s="114" t="s">
        <v>338</v>
      </c>
      <c r="B6" s="118" t="s">
        <v>286</v>
      </c>
      <c r="C6" s="299" t="s">
        <v>32</v>
      </c>
      <c r="D6" s="298">
        <f>1770*9.8</f>
        <v>17346</v>
      </c>
      <c r="F6" s="82">
        <v>2.5399999999999999E-2</v>
      </c>
      <c r="G6" s="81" t="s">
        <v>393</v>
      </c>
      <c r="H6" s="184" t="s">
        <v>283</v>
      </c>
      <c r="I6" s="249"/>
      <c r="J6" s="81">
        <v>0</v>
      </c>
      <c r="K6" s="142">
        <f>B11^3/(3*B7*B17)</f>
        <v>0</v>
      </c>
      <c r="L6" s="81">
        <v>0</v>
      </c>
      <c r="M6" s="81">
        <f>B11^2/(2*B7*B17)</f>
        <v>0</v>
      </c>
      <c r="N6" s="81">
        <v>0</v>
      </c>
      <c r="O6" s="81">
        <v>0</v>
      </c>
      <c r="P6" s="185" t="s">
        <v>277</v>
      </c>
      <c r="R6" s="210"/>
    </row>
    <row r="7" spans="1:18" x14ac:dyDescent="0.25">
      <c r="A7" s="102" t="s">
        <v>291</v>
      </c>
      <c r="B7" s="82">
        <f>69000</f>
        <v>69000</v>
      </c>
      <c r="C7" s="299" t="s">
        <v>242</v>
      </c>
      <c r="D7" s="298">
        <f>647*1000</f>
        <v>647000</v>
      </c>
      <c r="F7" s="82">
        <v>70000000000</v>
      </c>
      <c r="G7" s="81" t="s">
        <v>394</v>
      </c>
      <c r="H7" s="184" t="s">
        <v>284</v>
      </c>
      <c r="I7" s="249"/>
      <c r="J7" s="81">
        <v>0</v>
      </c>
      <c r="K7" s="81">
        <v>0</v>
      </c>
      <c r="L7" s="142">
        <f>B12/(B16*B7)</f>
        <v>5.7971130435014511E-6</v>
      </c>
      <c r="M7" s="81">
        <v>0</v>
      </c>
      <c r="N7" s="81">
        <v>0</v>
      </c>
      <c r="O7" s="81">
        <v>0</v>
      </c>
      <c r="P7" s="185" t="s">
        <v>278</v>
      </c>
      <c r="R7" s="210"/>
    </row>
    <row r="8" spans="1:18" x14ac:dyDescent="0.25">
      <c r="A8" s="102" t="s">
        <v>287</v>
      </c>
      <c r="B8" s="82">
        <v>0.33400000000000002</v>
      </c>
      <c r="C8" s="299" t="s">
        <v>33</v>
      </c>
      <c r="D8" s="298">
        <v>3</v>
      </c>
      <c r="F8" s="82">
        <v>2.5000000000000001E-2</v>
      </c>
      <c r="G8" s="81" t="s">
        <v>395</v>
      </c>
      <c r="H8" s="184" t="s">
        <v>273</v>
      </c>
      <c r="I8" s="249"/>
      <c r="J8" s="81">
        <v>0</v>
      </c>
      <c r="K8" s="81">
        <f>M6</f>
        <v>0</v>
      </c>
      <c r="L8" s="81">
        <v>0</v>
      </c>
      <c r="M8" s="142">
        <f>B11/(B7*B17)</f>
        <v>0</v>
      </c>
      <c r="N8" s="81">
        <v>0</v>
      </c>
      <c r="O8" s="81">
        <v>0</v>
      </c>
      <c r="P8" s="185" t="s">
        <v>279</v>
      </c>
      <c r="R8" s="210"/>
    </row>
    <row r="9" spans="1:18" x14ac:dyDescent="0.25">
      <c r="A9" s="102" t="s">
        <v>292</v>
      </c>
      <c r="B9" s="98">
        <f>B7/(2*(1+B8))</f>
        <v>25862.068965517239</v>
      </c>
      <c r="C9" s="299" t="s">
        <v>34</v>
      </c>
      <c r="D9" s="298">
        <v>0.01</v>
      </c>
      <c r="F9" s="82">
        <v>2.5000000000000001E-2</v>
      </c>
      <c r="G9" s="81" t="s">
        <v>396</v>
      </c>
      <c r="H9" s="184" t="s">
        <v>275</v>
      </c>
      <c r="I9" s="249"/>
      <c r="J9" s="81">
        <f>-1*B11^2/(2*B7*B18)</f>
        <v>0</v>
      </c>
      <c r="K9" s="81">
        <v>0</v>
      </c>
      <c r="L9" s="81">
        <v>0</v>
      </c>
      <c r="M9" s="81">
        <v>0</v>
      </c>
      <c r="N9" s="142">
        <f>B11/(B7*B18)</f>
        <v>0</v>
      </c>
      <c r="O9" s="81">
        <v>0</v>
      </c>
      <c r="P9" s="185" t="s">
        <v>280</v>
      </c>
      <c r="R9" s="210"/>
    </row>
    <row r="10" spans="1:18" ht="16.5" thickBot="1" x14ac:dyDescent="0.3">
      <c r="A10" s="212" t="s">
        <v>339</v>
      </c>
      <c r="B10" s="82"/>
      <c r="C10" s="299" t="s">
        <v>288</v>
      </c>
      <c r="D10" s="300">
        <f>D6/(D8*D9)</f>
        <v>578200</v>
      </c>
      <c r="F10" s="287">
        <f>1/12*F5*F4^3</f>
        <v>7.1999999999999997E-11</v>
      </c>
      <c r="G10" s="81" t="s">
        <v>397</v>
      </c>
      <c r="H10" s="186" t="s">
        <v>274</v>
      </c>
      <c r="I10" s="250"/>
      <c r="J10" s="167">
        <v>0</v>
      </c>
      <c r="K10" s="167">
        <v>0</v>
      </c>
      <c r="L10" s="167">
        <v>0</v>
      </c>
      <c r="M10" s="167">
        <v>0</v>
      </c>
      <c r="N10" s="167">
        <v>0</v>
      </c>
      <c r="O10" s="192">
        <f>B11/(B19*B9)</f>
        <v>0</v>
      </c>
      <c r="P10" s="189" t="s">
        <v>281</v>
      </c>
      <c r="R10" s="210"/>
    </row>
    <row r="11" spans="1:18" x14ac:dyDescent="0.25">
      <c r="A11" s="102" t="s">
        <v>342</v>
      </c>
      <c r="B11" s="83">
        <f>Summary!K11+Summary!L11</f>
        <v>0</v>
      </c>
      <c r="C11" s="299" t="s">
        <v>35</v>
      </c>
      <c r="D11" s="297">
        <v>25</v>
      </c>
      <c r="E11" s="164"/>
      <c r="F11" s="287">
        <f>1/12*F4*F5^3</f>
        <v>1.2500000000000002E-13</v>
      </c>
      <c r="G11" s="81" t="s">
        <v>398</v>
      </c>
      <c r="H11" s="164"/>
      <c r="I11" s="163"/>
      <c r="J11" s="164"/>
      <c r="K11" s="164"/>
      <c r="L11" s="164"/>
      <c r="M11" s="164"/>
      <c r="O11" s="150"/>
      <c r="R11" s="210"/>
    </row>
    <row r="12" spans="1:18" x14ac:dyDescent="0.25">
      <c r="A12" s="102" t="s">
        <v>233</v>
      </c>
      <c r="B12" s="83">
        <v>500</v>
      </c>
      <c r="C12" s="299" t="s">
        <v>375</v>
      </c>
      <c r="D12" s="301">
        <f>D7*D11^2/4</f>
        <v>101093750</v>
      </c>
      <c r="F12" s="287">
        <f>12*F7*F10/F6^3*1/1000</f>
        <v>3690.7160428494085</v>
      </c>
      <c r="G12" s="81" t="s">
        <v>399</v>
      </c>
      <c r="I12" s="82"/>
      <c r="O12" s="150"/>
      <c r="R12" s="210"/>
    </row>
    <row r="13" spans="1:18" x14ac:dyDescent="0.25">
      <c r="A13" s="102" t="s">
        <v>356</v>
      </c>
      <c r="B13" s="82">
        <f>4*25.4</f>
        <v>101.6</v>
      </c>
      <c r="C13" s="299" t="s">
        <v>289</v>
      </c>
      <c r="D13" s="301">
        <f>D7*D11^2/12</f>
        <v>33697916.666666664</v>
      </c>
      <c r="F13" s="287">
        <f>F7*F4*F5/F6/1000</f>
        <v>16535.433070866144</v>
      </c>
      <c r="G13" s="81" t="s">
        <v>400</v>
      </c>
      <c r="I13" s="82"/>
      <c r="O13" s="150"/>
      <c r="R13" s="210"/>
    </row>
    <row r="14" spans="1:18" x14ac:dyDescent="0.25">
      <c r="A14" s="102" t="s">
        <v>353</v>
      </c>
      <c r="B14" s="82">
        <f>4*25.4</f>
        <v>101.6</v>
      </c>
      <c r="C14" s="299" t="s">
        <v>290</v>
      </c>
      <c r="D14" s="302">
        <f>D13</f>
        <v>33697916.666666664</v>
      </c>
      <c r="F14" s="287">
        <f>12*F7*F11/F6^3/1000</f>
        <v>6.407493129946892</v>
      </c>
      <c r="G14" s="81" t="s">
        <v>401</v>
      </c>
      <c r="I14" s="82"/>
      <c r="O14" s="150"/>
      <c r="R14" s="210"/>
    </row>
    <row r="15" spans="1:18" x14ac:dyDescent="0.25">
      <c r="A15" s="102" t="s">
        <v>271</v>
      </c>
      <c r="B15" s="82">
        <f>0.125*25.4</f>
        <v>3.1749999999999998</v>
      </c>
      <c r="C15" s="303" t="s">
        <v>364</v>
      </c>
      <c r="D15" s="297"/>
      <c r="F15" s="287">
        <f>F17</f>
        <v>576.34858557783969</v>
      </c>
      <c r="G15" s="81" t="s">
        <v>402</v>
      </c>
      <c r="I15" s="82"/>
      <c r="O15" s="150"/>
      <c r="R15" s="210"/>
    </row>
    <row r="16" spans="1:18" x14ac:dyDescent="0.25">
      <c r="A16" s="102" t="s">
        <v>272</v>
      </c>
      <c r="B16" s="98">
        <f>B13*B14-(B13-2*B15)*(B14-2*B15)</f>
        <v>1249.9974999999995</v>
      </c>
      <c r="C16" s="304" t="s">
        <v>267</v>
      </c>
      <c r="D16" s="305" t="s">
        <v>10</v>
      </c>
      <c r="F16" s="287">
        <f>F13*(1000*F5)^2/12*(1-0.3^2)</f>
        <v>313.484251968504</v>
      </c>
      <c r="G16" s="81" t="s">
        <v>403</v>
      </c>
      <c r="I16" s="82"/>
      <c r="O16" s="150"/>
      <c r="R16" s="210"/>
    </row>
    <row r="17" spans="1:19" x14ac:dyDescent="0.25">
      <c r="A17" s="102" t="s">
        <v>314</v>
      </c>
      <c r="B17" s="99">
        <f>(B14^3*B13-(B13-2*B15)*(B14-2*B15)^3)/12</f>
        <v>2020321.2197661449</v>
      </c>
      <c r="C17" s="299" t="s">
        <v>269</v>
      </c>
      <c r="D17" s="297">
        <v>12</v>
      </c>
      <c r="F17" s="287">
        <f>F13*(1000*F5)^2/12*(1/(2*(1+0.3))*(4+2.52*F5/F4+F4^2/((1-0.3^2)*F6^2+2.4*(1+0.3)*F5^2)))</f>
        <v>576.34858557783969</v>
      </c>
      <c r="G17" s="81" t="s">
        <v>404</v>
      </c>
      <c r="I17" s="82"/>
      <c r="O17" s="150"/>
      <c r="R17" s="210"/>
    </row>
    <row r="18" spans="1:19" x14ac:dyDescent="0.25">
      <c r="A18" s="102" t="s">
        <v>315</v>
      </c>
      <c r="B18" s="99">
        <f>(B14*B13^3-(B13-2*B15)^3*(B14-2*B15))/12</f>
        <v>2020321.2197661449</v>
      </c>
      <c r="C18" s="299" t="s">
        <v>233</v>
      </c>
      <c r="D18" s="310">
        <f>B12</f>
        <v>500</v>
      </c>
      <c r="F18" s="287">
        <f>4*12*F7*F10/F6^3*1/1000</f>
        <v>14762.864171397634</v>
      </c>
      <c r="G18" s="81" t="s">
        <v>405</v>
      </c>
      <c r="I18" s="82"/>
      <c r="O18" s="150"/>
      <c r="R18" s="210"/>
    </row>
    <row r="19" spans="1:19" x14ac:dyDescent="0.25">
      <c r="A19" s="102" t="s">
        <v>235</v>
      </c>
      <c r="B19" s="99">
        <f>2*B15*B15*(B13-B15)^2*(B14-B15)^2/(B13*B15+B14*B15-2*B15^2)</f>
        <v>3027331.6406371091</v>
      </c>
      <c r="C19" s="299" t="s">
        <v>54</v>
      </c>
      <c r="D19" s="306">
        <v>200000</v>
      </c>
      <c r="F19" s="287">
        <f>2*1/2*F12*F9^2*1000</f>
        <v>2306.6975267808807</v>
      </c>
      <c r="G19" s="81" t="s">
        <v>406</v>
      </c>
      <c r="I19" s="82"/>
      <c r="O19" s="150"/>
      <c r="R19" s="210"/>
    </row>
    <row r="20" spans="1:19" x14ac:dyDescent="0.25">
      <c r="A20" s="102" t="s">
        <v>333</v>
      </c>
      <c r="B20" s="98">
        <f>B18/B16</f>
        <v>1616.2602083333331</v>
      </c>
      <c r="C20" s="299" t="s">
        <v>268</v>
      </c>
      <c r="D20" s="307">
        <f t="shared" ref="D20" si="0">PI()*D17^2/4*D19/D18</f>
        <v>45238.93421169302</v>
      </c>
      <c r="F20" s="287">
        <f>2*1/2*F12*F8^2*1000</f>
        <v>2306.6975267808807</v>
      </c>
      <c r="G20" s="81" t="s">
        <v>407</v>
      </c>
      <c r="I20" s="82"/>
      <c r="O20" s="150"/>
      <c r="R20" s="210"/>
    </row>
    <row r="21" spans="1:19" ht="16.5" thickBot="1" x14ac:dyDescent="0.3">
      <c r="A21" s="240" t="s">
        <v>313</v>
      </c>
      <c r="B21" s="246">
        <f>3*B7*B18/B12^3</f>
        <v>3345.6519399327358</v>
      </c>
      <c r="C21" s="308" t="s">
        <v>318</v>
      </c>
      <c r="D21" s="309">
        <v>3</v>
      </c>
      <c r="E21" s="177"/>
      <c r="F21" s="287">
        <f>1/2*F13*F8^2*1000</f>
        <v>5167.3228346456708</v>
      </c>
      <c r="G21" s="81" t="s">
        <v>408</v>
      </c>
      <c r="H21" s="177"/>
      <c r="I21" s="230"/>
      <c r="J21" s="177"/>
      <c r="K21" s="177"/>
      <c r="L21" s="177"/>
      <c r="M21" s="177"/>
      <c r="O21" s="150"/>
      <c r="R21" s="210"/>
    </row>
    <row r="22" spans="1:19" ht="16.5" thickBot="1" x14ac:dyDescent="0.3">
      <c r="A22" s="288" t="s">
        <v>348</v>
      </c>
      <c r="B22" s="289"/>
      <c r="C22" s="289"/>
      <c r="D22" s="289"/>
      <c r="E22" s="289"/>
      <c r="F22" s="287">
        <f>12*F7*F10/F6^3*1/1000</f>
        <v>3690.7160428494085</v>
      </c>
      <c r="G22" s="81" t="s">
        <v>421</v>
      </c>
      <c r="H22" s="289"/>
      <c r="I22" s="289"/>
      <c r="J22" s="289"/>
      <c r="K22" s="289"/>
      <c r="L22" s="289"/>
      <c r="M22" s="290"/>
      <c r="N22" s="183"/>
      <c r="O22" s="150"/>
      <c r="R22" s="210"/>
    </row>
    <row r="23" spans="1:19" ht="31.5" x14ac:dyDescent="0.25">
      <c r="A23" s="276" t="s">
        <v>370</v>
      </c>
      <c r="B23" s="233"/>
      <c r="C23" s="241" t="s">
        <v>265</v>
      </c>
      <c r="D23" s="164"/>
      <c r="E23" s="164"/>
      <c r="F23" s="287">
        <f>1/(1+3.2*(F4/F6)^2)</f>
        <v>0.58334840319722225</v>
      </c>
      <c r="G23" s="155" t="s">
        <v>420</v>
      </c>
      <c r="H23" s="163"/>
      <c r="I23" s="163"/>
      <c r="J23" s="164"/>
      <c r="K23" s="164"/>
      <c r="L23" s="164"/>
      <c r="M23" s="164"/>
      <c r="O23" s="150"/>
      <c r="R23" s="210"/>
    </row>
    <row r="24" spans="1:19" x14ac:dyDescent="0.25">
      <c r="A24" s="102" t="s">
        <v>3</v>
      </c>
      <c r="B24" s="107"/>
      <c r="C24" s="155"/>
      <c r="F24" s="287">
        <f>F23*F22</f>
        <v>2152.9733102505734</v>
      </c>
      <c r="G24" s="155" t="s">
        <v>422</v>
      </c>
      <c r="O24" s="210"/>
      <c r="P24" s="210"/>
      <c r="Q24" s="210"/>
      <c r="R24" s="210"/>
    </row>
    <row r="25" spans="1:19" x14ac:dyDescent="0.25">
      <c r="A25" s="218" t="s">
        <v>117</v>
      </c>
      <c r="B25" s="153">
        <f>SUM(H35:S35)+C25</f>
        <v>2588000</v>
      </c>
      <c r="C25" s="219">
        <v>0</v>
      </c>
      <c r="O25" s="210"/>
      <c r="P25" s="210"/>
      <c r="Q25" s="210"/>
      <c r="R25" s="210"/>
    </row>
    <row r="26" spans="1:19" x14ac:dyDescent="0.25">
      <c r="A26" s="218" t="s">
        <v>118</v>
      </c>
      <c r="B26" s="153">
        <f>SUM(H36:S36)+C26</f>
        <v>2589000</v>
      </c>
      <c r="C26" s="219">
        <v>1000</v>
      </c>
      <c r="G26" s="243" t="s">
        <v>184</v>
      </c>
      <c r="O26" s="210"/>
      <c r="P26" s="210"/>
      <c r="Q26" s="210"/>
      <c r="R26" s="210"/>
    </row>
    <row r="27" spans="1:19" x14ac:dyDescent="0.25">
      <c r="A27" s="218" t="s">
        <v>119</v>
      </c>
      <c r="B27" s="153">
        <f>SUM(H37:S37)+C27</f>
        <v>0</v>
      </c>
      <c r="C27" s="237">
        <v>0</v>
      </c>
      <c r="G27" s="82" t="s">
        <v>124</v>
      </c>
      <c r="O27" s="210"/>
      <c r="P27" s="210"/>
      <c r="Q27" s="210"/>
      <c r="R27" s="210"/>
    </row>
    <row r="28" spans="1:19" x14ac:dyDescent="0.25">
      <c r="A28" s="102" t="s">
        <v>115</v>
      </c>
      <c r="B28" s="107"/>
      <c r="C28" s="200"/>
      <c r="D28" s="88"/>
      <c r="E28" s="88"/>
      <c r="F28" s="88"/>
      <c r="G28" s="213" t="s">
        <v>133</v>
      </c>
      <c r="H28" s="214">
        <v>4</v>
      </c>
      <c r="O28" s="210"/>
      <c r="P28" s="210"/>
      <c r="Q28" s="210"/>
      <c r="R28" s="210"/>
    </row>
    <row r="29" spans="1:19" x14ac:dyDescent="0.25">
      <c r="A29" s="218" t="s">
        <v>8</v>
      </c>
      <c r="B29" s="153">
        <f>SUM(H39:S39)+SUM(H43:S43)+C29</f>
        <v>2021875000</v>
      </c>
      <c r="C29" s="219">
        <v>0</v>
      </c>
      <c r="D29" s="88"/>
      <c r="E29" s="88"/>
      <c r="F29" s="88"/>
      <c r="H29" s="365" t="s">
        <v>129</v>
      </c>
      <c r="I29" s="365"/>
      <c r="J29" s="365"/>
      <c r="K29" s="365"/>
      <c r="L29" s="365"/>
      <c r="M29" s="365"/>
      <c r="N29" s="365"/>
      <c r="O29" s="365"/>
      <c r="P29" s="365"/>
      <c r="Q29" s="365"/>
      <c r="R29" s="365"/>
      <c r="S29" s="365"/>
    </row>
    <row r="30" spans="1:19" x14ac:dyDescent="0.25">
      <c r="A30" s="218" t="s">
        <v>120</v>
      </c>
      <c r="B30" s="153">
        <f>SUM(H40:S40)+SUM(H44:S44)+C30</f>
        <v>1752291666.6666667</v>
      </c>
      <c r="C30" s="219">
        <v>0</v>
      </c>
      <c r="D30" s="88"/>
      <c r="E30" s="88"/>
      <c r="F30" s="88"/>
      <c r="G30" s="82" t="s">
        <v>114</v>
      </c>
      <c r="H30" s="87">
        <v>1</v>
      </c>
      <c r="I30" s="87">
        <f>H30+1</f>
        <v>2</v>
      </c>
      <c r="J30" s="87">
        <f t="shared" ref="J30:R30" si="1">I30+1</f>
        <v>3</v>
      </c>
      <c r="K30" s="87">
        <f t="shared" si="1"/>
        <v>4</v>
      </c>
      <c r="L30" s="87">
        <f t="shared" si="1"/>
        <v>5</v>
      </c>
      <c r="M30" s="87">
        <f t="shared" si="1"/>
        <v>6</v>
      </c>
      <c r="N30" s="87">
        <f t="shared" si="1"/>
        <v>7</v>
      </c>
      <c r="O30" s="87">
        <f t="shared" si="1"/>
        <v>8</v>
      </c>
      <c r="P30" s="87">
        <f>O30+1</f>
        <v>9</v>
      </c>
      <c r="Q30" s="87">
        <f t="shared" si="1"/>
        <v>10</v>
      </c>
      <c r="R30" s="87">
        <f t="shared" si="1"/>
        <v>11</v>
      </c>
      <c r="S30" s="87">
        <f>R30+1</f>
        <v>12</v>
      </c>
    </row>
    <row r="31" spans="1:19" x14ac:dyDescent="0.25">
      <c r="A31" s="218" t="s">
        <v>116</v>
      </c>
      <c r="B31" s="153">
        <f>SUM(H41:S41)+SUM(H45:S45)+C31</f>
        <v>1752291666.6666667</v>
      </c>
      <c r="C31" s="219">
        <v>0</v>
      </c>
      <c r="D31" s="88"/>
      <c r="E31" s="88"/>
      <c r="F31" s="88"/>
      <c r="G31" s="102" t="s">
        <v>42</v>
      </c>
      <c r="H31" s="214">
        <v>0</v>
      </c>
      <c r="I31" s="214">
        <v>0</v>
      </c>
      <c r="J31" s="214">
        <v>0</v>
      </c>
      <c r="K31" s="214">
        <v>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43</v>
      </c>
      <c r="H32" s="214">
        <v>25</v>
      </c>
      <c r="I32" s="214">
        <v>-25</v>
      </c>
      <c r="J32" s="214">
        <v>25</v>
      </c>
      <c r="K32" s="214">
        <v>-25</v>
      </c>
      <c r="L32" s="214">
        <v>0</v>
      </c>
      <c r="M32" s="214">
        <v>0</v>
      </c>
      <c r="N32" s="214">
        <v>0</v>
      </c>
      <c r="O32" s="214">
        <v>0</v>
      </c>
      <c r="P32" s="214">
        <v>0</v>
      </c>
      <c r="Q32" s="214">
        <v>0</v>
      </c>
      <c r="R32" s="214">
        <v>0</v>
      </c>
      <c r="S32" s="214">
        <v>0</v>
      </c>
    </row>
    <row r="33" spans="1:19" x14ac:dyDescent="0.25">
      <c r="A33" s="366"/>
      <c r="B33" s="366"/>
      <c r="C33" s="366"/>
      <c r="D33" s="88"/>
      <c r="E33" s="88"/>
      <c r="F33" s="88"/>
      <c r="G33" s="102" t="s">
        <v>44</v>
      </c>
      <c r="H33" s="214">
        <v>25</v>
      </c>
      <c r="I33" s="214">
        <v>25</v>
      </c>
      <c r="J33" s="214">
        <v>-25</v>
      </c>
      <c r="K33" s="214">
        <v>-25</v>
      </c>
      <c r="L33" s="214">
        <v>0</v>
      </c>
      <c r="M33" s="214">
        <v>0</v>
      </c>
      <c r="N33" s="214">
        <v>0</v>
      </c>
      <c r="O33" s="214">
        <v>0</v>
      </c>
      <c r="P33" s="214">
        <v>0</v>
      </c>
      <c r="Q33" s="214">
        <v>0</v>
      </c>
      <c r="R33" s="214">
        <v>0</v>
      </c>
      <c r="S33" s="214">
        <v>0</v>
      </c>
    </row>
    <row r="34" spans="1:19" x14ac:dyDescent="0.25">
      <c r="A34" s="366"/>
      <c r="B34" s="366"/>
      <c r="C34" s="366"/>
      <c r="G34" s="82" t="s">
        <v>130</v>
      </c>
      <c r="H34" s="367"/>
      <c r="I34" s="367"/>
      <c r="J34" s="367"/>
      <c r="K34" s="367"/>
    </row>
    <row r="35" spans="1:19" x14ac:dyDescent="0.25">
      <c r="A35" s="221" t="s">
        <v>185</v>
      </c>
      <c r="B35" s="214"/>
      <c r="C35" s="214"/>
      <c r="D35" s="88"/>
      <c r="E35" s="88"/>
      <c r="F35" s="88"/>
      <c r="G35" s="102" t="s">
        <v>117</v>
      </c>
      <c r="H35" s="142">
        <f>D7</f>
        <v>647000</v>
      </c>
      <c r="I35" s="142">
        <f>H35</f>
        <v>647000</v>
      </c>
      <c r="J35" s="142">
        <f>I35</f>
        <v>647000</v>
      </c>
      <c r="K35" s="142">
        <f>J35</f>
        <v>647000</v>
      </c>
      <c r="L35" s="214">
        <v>0</v>
      </c>
      <c r="M35" s="214">
        <v>0</v>
      </c>
      <c r="N35" s="214">
        <v>0</v>
      </c>
      <c r="O35" s="214">
        <v>0</v>
      </c>
      <c r="P35" s="214">
        <v>0</v>
      </c>
      <c r="Q35" s="214">
        <v>0</v>
      </c>
      <c r="R35" s="214">
        <v>0</v>
      </c>
      <c r="S35" s="214">
        <v>0</v>
      </c>
    </row>
    <row r="36" spans="1:19" x14ac:dyDescent="0.25">
      <c r="A36" s="81" t="s">
        <v>109</v>
      </c>
      <c r="D36" s="88"/>
      <c r="E36" s="88"/>
      <c r="F36" s="88"/>
      <c r="G36" s="102" t="s">
        <v>118</v>
      </c>
      <c r="H36" s="142">
        <f>'ref bearings, servo, structure'!B5</f>
        <v>647000</v>
      </c>
      <c r="I36" s="142">
        <f>H36</f>
        <v>647000</v>
      </c>
      <c r="J36" s="142">
        <f t="shared" ref="J36:K36" si="2">I36</f>
        <v>647000</v>
      </c>
      <c r="K36" s="142">
        <f t="shared" si="2"/>
        <v>647000</v>
      </c>
      <c r="L36" s="214">
        <v>0</v>
      </c>
      <c r="M36" s="214">
        <v>0</v>
      </c>
      <c r="N36" s="214">
        <v>0</v>
      </c>
      <c r="O36" s="214">
        <v>0</v>
      </c>
      <c r="P36" s="214">
        <v>0</v>
      </c>
      <c r="Q36" s="214">
        <v>0</v>
      </c>
      <c r="R36" s="214">
        <v>0</v>
      </c>
      <c r="S36" s="214">
        <v>0</v>
      </c>
    </row>
    <row r="37" spans="1:19" x14ac:dyDescent="0.25">
      <c r="A37" s="102" t="s">
        <v>186</v>
      </c>
      <c r="B37" s="214">
        <v>0</v>
      </c>
      <c r="D37" s="88"/>
      <c r="E37" s="88"/>
      <c r="F37" s="88"/>
      <c r="G37" s="102" t="s">
        <v>119</v>
      </c>
      <c r="H37" s="142">
        <v>0</v>
      </c>
      <c r="I37" s="142">
        <v>0</v>
      </c>
      <c r="J37" s="142">
        <v>0</v>
      </c>
      <c r="K37" s="142">
        <v>0</v>
      </c>
      <c r="L37" s="214">
        <v>0</v>
      </c>
      <c r="M37" s="214">
        <v>0</v>
      </c>
      <c r="N37" s="214">
        <v>0</v>
      </c>
      <c r="O37" s="214">
        <v>0</v>
      </c>
      <c r="P37" s="214">
        <v>0</v>
      </c>
      <c r="Q37" s="214">
        <v>0</v>
      </c>
      <c r="R37" s="214">
        <v>0</v>
      </c>
      <c r="S37" s="214">
        <v>0</v>
      </c>
    </row>
    <row r="38" spans="1:19" x14ac:dyDescent="0.25">
      <c r="A38" s="102" t="s">
        <v>187</v>
      </c>
      <c r="B38" s="214">
        <v>0</v>
      </c>
      <c r="D38" s="88"/>
      <c r="E38" s="88"/>
      <c r="F38" s="88"/>
      <c r="G38" s="82" t="s">
        <v>131</v>
      </c>
      <c r="H38" s="367"/>
      <c r="I38" s="367"/>
      <c r="J38" s="367"/>
      <c r="K38" s="367"/>
    </row>
    <row r="39" spans="1:19" x14ac:dyDescent="0.25">
      <c r="A39" s="102" t="s">
        <v>188</v>
      </c>
      <c r="B39" s="214">
        <v>0</v>
      </c>
      <c r="D39" s="88"/>
      <c r="E39" s="88"/>
      <c r="F39" s="88"/>
      <c r="G39" s="102" t="s">
        <v>8</v>
      </c>
      <c r="H39" s="142">
        <f>'ref bearings, servo, structure'!B10</f>
        <v>101093750</v>
      </c>
      <c r="I39" s="142">
        <f>H39</f>
        <v>101093750</v>
      </c>
      <c r="J39" s="142">
        <f t="shared" ref="J39:K39" si="3">I39</f>
        <v>101093750</v>
      </c>
      <c r="K39" s="142">
        <f t="shared" si="3"/>
        <v>101093750</v>
      </c>
      <c r="L39" s="214">
        <v>0</v>
      </c>
      <c r="M39" s="214">
        <v>0</v>
      </c>
      <c r="N39" s="214">
        <v>0</v>
      </c>
      <c r="O39" s="214">
        <v>0</v>
      </c>
      <c r="P39" s="214">
        <v>0</v>
      </c>
      <c r="Q39" s="214">
        <v>0</v>
      </c>
      <c r="R39" s="214">
        <v>0</v>
      </c>
      <c r="S39" s="214">
        <v>0</v>
      </c>
    </row>
    <row r="40" spans="1:19" x14ac:dyDescent="0.25">
      <c r="A40" s="150" t="s">
        <v>110</v>
      </c>
      <c r="D40" s="88"/>
      <c r="E40" s="88"/>
      <c r="F40" s="88"/>
      <c r="G40" s="102" t="s">
        <v>120</v>
      </c>
      <c r="H40" s="142">
        <f>'ref bearings, servo, structure'!B12</f>
        <v>33697916.666666664</v>
      </c>
      <c r="I40" s="142">
        <f t="shared" ref="I40:K41" si="4">H40</f>
        <v>33697916.666666664</v>
      </c>
      <c r="J40" s="142">
        <f t="shared" si="4"/>
        <v>33697916.666666664</v>
      </c>
      <c r="K40" s="142">
        <f t="shared" si="4"/>
        <v>33697916.666666664</v>
      </c>
      <c r="L40" s="214">
        <v>0</v>
      </c>
      <c r="M40" s="214">
        <v>0</v>
      </c>
      <c r="N40" s="214">
        <v>0</v>
      </c>
      <c r="O40" s="214">
        <v>0</v>
      </c>
      <c r="P40" s="214">
        <v>0</v>
      </c>
      <c r="Q40" s="214">
        <v>0</v>
      </c>
      <c r="R40" s="214">
        <v>0</v>
      </c>
      <c r="S40" s="214">
        <v>0</v>
      </c>
    </row>
    <row r="41" spans="1:19" x14ac:dyDescent="0.25">
      <c r="A41" s="102" t="s">
        <v>186</v>
      </c>
      <c r="B41" s="214">
        <v>0</v>
      </c>
      <c r="G41" s="102" t="s">
        <v>116</v>
      </c>
      <c r="H41" s="142">
        <f>'ref bearings, servo, structure'!B11</f>
        <v>33697916.666666664</v>
      </c>
      <c r="I41" s="142">
        <f t="shared" si="4"/>
        <v>33697916.666666664</v>
      </c>
      <c r="J41" s="142">
        <f t="shared" si="4"/>
        <v>33697916.666666664</v>
      </c>
      <c r="K41" s="142">
        <f t="shared" si="4"/>
        <v>33697916.666666664</v>
      </c>
      <c r="L41" s="214">
        <v>0</v>
      </c>
      <c r="M41" s="214">
        <v>0</v>
      </c>
      <c r="N41" s="214">
        <v>0</v>
      </c>
      <c r="O41" s="214">
        <v>0</v>
      </c>
      <c r="P41" s="214">
        <v>0</v>
      </c>
      <c r="Q41" s="214">
        <v>0</v>
      </c>
      <c r="R41" s="214">
        <v>0</v>
      </c>
      <c r="S41" s="214">
        <v>0</v>
      </c>
    </row>
    <row r="42" spans="1:19" x14ac:dyDescent="0.25">
      <c r="A42" s="102" t="s">
        <v>187</v>
      </c>
      <c r="B42" s="214">
        <v>0</v>
      </c>
      <c r="D42" s="217"/>
      <c r="E42" s="217"/>
      <c r="F42" s="217"/>
      <c r="G42" s="82" t="s">
        <v>125</v>
      </c>
    </row>
    <row r="43" spans="1:19" x14ac:dyDescent="0.25">
      <c r="A43" s="102" t="s">
        <v>188</v>
      </c>
      <c r="B43" s="214">
        <v>0</v>
      </c>
      <c r="D43" s="155"/>
      <c r="E43" s="155"/>
      <c r="F43" s="155"/>
      <c r="G43" s="102" t="s">
        <v>8</v>
      </c>
      <c r="H43" s="153">
        <f>H36*H33^2+H37*H32^2</f>
        <v>404375000</v>
      </c>
      <c r="I43" s="153">
        <f t="shared" ref="I43:S43" si="5">I36*I33^2+I37*I32^2</f>
        <v>404375000</v>
      </c>
      <c r="J43" s="153">
        <f t="shared" si="5"/>
        <v>404375000</v>
      </c>
      <c r="K43" s="153">
        <f t="shared" si="5"/>
        <v>404375000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5" t="s">
        <v>206</v>
      </c>
      <c r="D44" s="219"/>
      <c r="E44" s="219"/>
      <c r="F44" s="219"/>
      <c r="G44" s="102" t="s">
        <v>120</v>
      </c>
      <c r="H44" s="153">
        <f>H35*H33^2+H37*H31^2</f>
        <v>404375000</v>
      </c>
      <c r="I44" s="153">
        <f t="shared" ref="I44:S44" si="6">I35*I33^2+I37*I31^2</f>
        <v>404375000</v>
      </c>
      <c r="J44" s="153">
        <f t="shared" si="6"/>
        <v>404375000</v>
      </c>
      <c r="K44" s="153">
        <f t="shared" si="6"/>
        <v>404375000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1.0000000000000001E-5</v>
      </c>
      <c r="C45" s="88"/>
      <c r="D45" s="219"/>
      <c r="E45" s="219"/>
      <c r="F45" s="219"/>
      <c r="G45" s="102" t="s">
        <v>116</v>
      </c>
      <c r="H45" s="153">
        <f>H35*H32^2+H36*H31^2</f>
        <v>404375000</v>
      </c>
      <c r="I45" s="153">
        <f t="shared" ref="I45:S45" si="7">I35*I32^2+I36*I31^2</f>
        <v>404375000</v>
      </c>
      <c r="J45" s="153">
        <f t="shared" si="7"/>
        <v>404375000</v>
      </c>
      <c r="K45" s="153">
        <f t="shared" si="7"/>
        <v>404375000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9.9999999999999995E-7</v>
      </c>
      <c r="C46" s="88"/>
      <c r="D46" s="219"/>
      <c r="E46" s="219"/>
      <c r="F46" s="219"/>
      <c r="G46" s="82" t="s">
        <v>307</v>
      </c>
    </row>
    <row r="47" spans="1:19" x14ac:dyDescent="0.25">
      <c r="A47" s="102" t="s">
        <v>123</v>
      </c>
      <c r="B47" s="105">
        <f t="shared" si="8"/>
        <v>1.0000000000000001E-5</v>
      </c>
      <c r="C47" s="88"/>
      <c r="D47" s="200"/>
      <c r="E47" s="200"/>
      <c r="F47" s="200"/>
      <c r="G47" s="102" t="s">
        <v>121</v>
      </c>
      <c r="H47" s="214">
        <v>1.0000000000000001E-5</v>
      </c>
      <c r="I47" s="214">
        <v>1.0000000000000001E-5</v>
      </c>
      <c r="J47" s="214">
        <v>1.0000000000000001E-5</v>
      </c>
      <c r="K47" s="214">
        <v>1.0000000000000001E-5</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4.0000000000000093E-8</v>
      </c>
      <c r="C48" s="88"/>
      <c r="D48" s="219"/>
      <c r="E48" s="219"/>
      <c r="F48" s="219"/>
      <c r="G48" s="102" t="s">
        <v>122</v>
      </c>
      <c r="H48" s="214">
        <v>9.9999999999999995E-7</v>
      </c>
      <c r="I48" s="214">
        <v>9.9999999999999995E-7</v>
      </c>
      <c r="J48" s="214">
        <v>9.9999999999999995E-7</v>
      </c>
      <c r="K48" s="214">
        <v>9.9999999999999995E-7</v>
      </c>
      <c r="L48" s="214">
        <v>0</v>
      </c>
      <c r="M48" s="214">
        <v>0</v>
      </c>
      <c r="N48" s="214">
        <v>0</v>
      </c>
      <c r="O48" s="214">
        <v>0</v>
      </c>
      <c r="P48" s="214">
        <v>0</v>
      </c>
      <c r="Q48" s="214">
        <v>0</v>
      </c>
      <c r="R48" s="214">
        <v>0</v>
      </c>
      <c r="S48" s="214">
        <v>0</v>
      </c>
    </row>
    <row r="49" spans="1:21" x14ac:dyDescent="0.25">
      <c r="A49" s="102" t="s">
        <v>86</v>
      </c>
      <c r="B49" s="105">
        <f>SQRT((H52^2+I52^2+J52^2+K52^2+L52^2+M52^2+N52^2+O52^2+P52^2+Q52^2+R52^2+S52^2+B38^2)/H$28)</f>
        <v>4.0000000000000099E-7</v>
      </c>
      <c r="C49" s="88"/>
      <c r="D49" s="219"/>
      <c r="E49" s="219"/>
      <c r="F49" s="219"/>
      <c r="G49" s="102" t="s">
        <v>123</v>
      </c>
      <c r="H49" s="214">
        <v>1.0000000000000001E-5</v>
      </c>
      <c r="I49" s="214">
        <v>1.0000000000000001E-5</v>
      </c>
      <c r="J49" s="214">
        <v>1.0000000000000001E-5</v>
      </c>
      <c r="K49" s="214">
        <v>1.0000000000000001E-5</v>
      </c>
      <c r="L49" s="214">
        <v>0</v>
      </c>
      <c r="M49" s="214">
        <v>0</v>
      </c>
      <c r="N49" s="214">
        <v>0</v>
      </c>
      <c r="O49" s="214">
        <v>0</v>
      </c>
      <c r="P49" s="214">
        <v>0</v>
      </c>
      <c r="Q49" s="214">
        <v>0</v>
      </c>
      <c r="R49" s="214">
        <v>0</v>
      </c>
      <c r="S49" s="214">
        <v>0</v>
      </c>
    </row>
    <row r="50" spans="1:21" x14ac:dyDescent="0.25">
      <c r="A50" s="102" t="s">
        <v>87</v>
      </c>
      <c r="B50" s="105">
        <f>SQRT((H53^2+I53^2+J53^2+K53^2+L53^2+M53^2+N53^2+O53^2+P53^2+Q53^2+R53^2+S53^2+B39^2)/H$28)</f>
        <v>4.0000000000000099E-7</v>
      </c>
      <c r="C50" s="88"/>
      <c r="D50" s="219"/>
      <c r="E50" s="219"/>
      <c r="F50" s="219"/>
      <c r="G50" s="82" t="s">
        <v>251</v>
      </c>
    </row>
    <row r="51" spans="1:21" ht="47.25" x14ac:dyDescent="0.25">
      <c r="A51" s="216" t="s">
        <v>207</v>
      </c>
      <c r="B51" s="107"/>
      <c r="D51" s="220"/>
      <c r="E51" s="220"/>
      <c r="F51" s="220"/>
      <c r="G51" s="102" t="s">
        <v>85</v>
      </c>
      <c r="H51" s="153">
        <f>H98</f>
        <v>3.999999840000006E-8</v>
      </c>
      <c r="I51" s="153">
        <f t="shared" ref="I51:S51" si="9">I98</f>
        <v>3.999999840000006E-8</v>
      </c>
      <c r="J51" s="153">
        <f t="shared" si="9"/>
        <v>4.0000001600000061E-8</v>
      </c>
      <c r="K51" s="153">
        <f t="shared" si="9"/>
        <v>4.0000001600000061E-8</v>
      </c>
      <c r="L51" s="153">
        <f t="shared" si="9"/>
        <v>0</v>
      </c>
      <c r="M51" s="153">
        <f t="shared" si="9"/>
        <v>0</v>
      </c>
      <c r="N51" s="153">
        <f t="shared" si="9"/>
        <v>0</v>
      </c>
      <c r="O51" s="153">
        <f t="shared" si="9"/>
        <v>0</v>
      </c>
      <c r="P51" s="153">
        <f t="shared" si="9"/>
        <v>0</v>
      </c>
      <c r="Q51" s="153">
        <f t="shared" si="9"/>
        <v>0</v>
      </c>
      <c r="R51" s="153">
        <f t="shared" si="9"/>
        <v>0</v>
      </c>
      <c r="S51" s="153">
        <f t="shared" si="9"/>
        <v>0</v>
      </c>
    </row>
    <row r="52" spans="1:21" x14ac:dyDescent="0.25">
      <c r="A52" s="102" t="s">
        <v>121</v>
      </c>
      <c r="B52" s="105">
        <f>SQRT((H55^2+I55^2+J55^2+K55^2+L55^2+M55^2+N55^2+O55^2+P55^2+Q55^2+R55^2+S55^2)/H$28)</f>
        <v>0</v>
      </c>
      <c r="C52" s="88"/>
      <c r="D52" s="220"/>
      <c r="E52" s="220"/>
      <c r="F52" s="220"/>
      <c r="G52" s="102" t="s">
        <v>86</v>
      </c>
      <c r="H52" s="153">
        <f>H102</f>
        <v>3.9999998400000067E-7</v>
      </c>
      <c r="I52" s="153">
        <f t="shared" ref="I52:S52" si="10">I102</f>
        <v>3.9999998400000067E-7</v>
      </c>
      <c r="J52" s="153">
        <f t="shared" si="10"/>
        <v>4.0000001600000068E-7</v>
      </c>
      <c r="K52" s="153">
        <f t="shared" si="10"/>
        <v>4.0000001600000068E-7</v>
      </c>
      <c r="L52" s="153">
        <f t="shared" si="10"/>
        <v>0</v>
      </c>
      <c r="M52" s="153">
        <f t="shared" si="10"/>
        <v>0</v>
      </c>
      <c r="N52" s="153">
        <f t="shared" si="10"/>
        <v>0</v>
      </c>
      <c r="O52" s="153">
        <f t="shared" si="10"/>
        <v>0</v>
      </c>
      <c r="P52" s="153">
        <f t="shared" si="10"/>
        <v>0</v>
      </c>
      <c r="Q52" s="153">
        <f t="shared" si="10"/>
        <v>0</v>
      </c>
      <c r="R52" s="153">
        <f t="shared" si="10"/>
        <v>0</v>
      </c>
      <c r="S52" s="153">
        <f t="shared" si="10"/>
        <v>0</v>
      </c>
      <c r="T52" s="83"/>
    </row>
    <row r="53" spans="1:21" x14ac:dyDescent="0.25">
      <c r="A53" s="102" t="s">
        <v>122</v>
      </c>
      <c r="B53" s="105">
        <f t="shared" ref="B53:B54" si="11">SQRT((H56^2+I56^2+J56^2+K56^2+L56^2+M56^2+N56^2+O56^2+P56^2+Q56^2+R56^2+S56^2)/H$28)</f>
        <v>0</v>
      </c>
      <c r="C53" s="88"/>
      <c r="D53" s="220"/>
      <c r="E53" s="220"/>
      <c r="F53" s="220"/>
      <c r="G53" s="102" t="s">
        <v>87</v>
      </c>
      <c r="H53" s="153">
        <f>H106</f>
        <v>3.9999998400000067E-7</v>
      </c>
      <c r="I53" s="153">
        <f t="shared" ref="I53:S53" si="12">I106</f>
        <v>4.0000001600000068E-7</v>
      </c>
      <c r="J53" s="153">
        <f t="shared" si="12"/>
        <v>3.9999998400000067E-7</v>
      </c>
      <c r="K53" s="153">
        <f t="shared" si="12"/>
        <v>4.0000001600000068E-7</v>
      </c>
      <c r="L53" s="153">
        <f t="shared" si="12"/>
        <v>0</v>
      </c>
      <c r="M53" s="153">
        <f t="shared" si="12"/>
        <v>0</v>
      </c>
      <c r="N53" s="153">
        <f t="shared" si="12"/>
        <v>0</v>
      </c>
      <c r="O53" s="153">
        <f t="shared" si="12"/>
        <v>0</v>
      </c>
      <c r="P53" s="153">
        <f t="shared" si="12"/>
        <v>0</v>
      </c>
      <c r="Q53" s="153">
        <f t="shared" si="12"/>
        <v>0</v>
      </c>
      <c r="R53" s="153">
        <f t="shared" si="12"/>
        <v>0</v>
      </c>
      <c r="S53" s="153">
        <f t="shared" si="12"/>
        <v>0</v>
      </c>
      <c r="U53" s="153"/>
    </row>
    <row r="54" spans="1:21" x14ac:dyDescent="0.25">
      <c r="A54" s="102" t="s">
        <v>123</v>
      </c>
      <c r="B54" s="105">
        <f t="shared" si="11"/>
        <v>0</v>
      </c>
      <c r="C54" s="88"/>
      <c r="D54" s="214"/>
      <c r="E54" s="214"/>
      <c r="F54" s="214"/>
      <c r="G54" s="82" t="s">
        <v>330</v>
      </c>
    </row>
    <row r="55" spans="1:21" x14ac:dyDescent="0.25">
      <c r="A55" s="102" t="s">
        <v>85</v>
      </c>
      <c r="B55" s="105">
        <f>SQRT((H59^2+I59^2+J59^2+K59^2+L59^2+M59^2+N59^2+O59^2+P59^2+Q59^2+R59^2+S59^2+B41^2)/H$28)</f>
        <v>0</v>
      </c>
      <c r="C55" s="88"/>
      <c r="G55" s="102" t="s">
        <v>121</v>
      </c>
      <c r="H55" s="214">
        <v>0</v>
      </c>
      <c r="I55" s="214">
        <v>0</v>
      </c>
      <c r="J55" s="214">
        <v>0</v>
      </c>
      <c r="K55" s="214">
        <v>0</v>
      </c>
      <c r="L55" s="214">
        <v>0</v>
      </c>
      <c r="M55" s="214">
        <v>0</v>
      </c>
      <c r="N55" s="214">
        <v>0</v>
      </c>
      <c r="O55" s="214">
        <v>0</v>
      </c>
      <c r="P55" s="214">
        <v>0</v>
      </c>
      <c r="Q55" s="214">
        <v>0</v>
      </c>
      <c r="R55" s="214">
        <v>0</v>
      </c>
      <c r="S55" s="214">
        <v>0</v>
      </c>
    </row>
    <row r="56" spans="1:21" x14ac:dyDescent="0.25">
      <c r="A56" s="102" t="s">
        <v>86</v>
      </c>
      <c r="B56" s="105">
        <f>SQRT((H60^2+I60^2+J60^2+K60^2+L60^2+M60^2+N60^2+O60^2+P60^2+Q60^2+R60^2+S60^2+B42^2)/H$28)</f>
        <v>0</v>
      </c>
      <c r="C56" s="88"/>
      <c r="G56" s="102" t="s">
        <v>122</v>
      </c>
      <c r="H56" s="214">
        <v>0</v>
      </c>
      <c r="I56" s="214">
        <v>0</v>
      </c>
      <c r="J56" s="214">
        <v>0</v>
      </c>
      <c r="K56" s="214">
        <v>0</v>
      </c>
      <c r="L56" s="214">
        <v>0</v>
      </c>
      <c r="M56" s="214">
        <v>0</v>
      </c>
      <c r="N56" s="214">
        <v>0</v>
      </c>
      <c r="O56" s="214">
        <v>0</v>
      </c>
      <c r="P56" s="214">
        <v>0</v>
      </c>
      <c r="Q56" s="214">
        <v>0</v>
      </c>
      <c r="R56" s="214">
        <v>0</v>
      </c>
      <c r="S56" s="214">
        <v>0</v>
      </c>
    </row>
    <row r="57" spans="1:21" x14ac:dyDescent="0.25">
      <c r="A57" s="102" t="s">
        <v>87</v>
      </c>
      <c r="B57" s="105">
        <f>SQRT((H61^2+I61^2+J61^2+K61^2+L61^2+M61^2+N61^2+O61^2+P61^2+Q61^2+R61^2+S61^2+B43^2)/H$28)</f>
        <v>0</v>
      </c>
      <c r="C57" s="88"/>
      <c r="G57" s="102" t="s">
        <v>123</v>
      </c>
      <c r="H57" s="214">
        <v>0</v>
      </c>
      <c r="I57" s="214">
        <v>0</v>
      </c>
      <c r="J57" s="214">
        <v>0</v>
      </c>
      <c r="K57" s="214">
        <v>0</v>
      </c>
      <c r="L57" s="214">
        <v>0</v>
      </c>
      <c r="M57" s="214">
        <v>0</v>
      </c>
      <c r="N57" s="214">
        <v>0</v>
      </c>
      <c r="O57" s="214">
        <v>0</v>
      </c>
      <c r="P57" s="214">
        <v>0</v>
      </c>
      <c r="Q57" s="214">
        <v>0</v>
      </c>
      <c r="R57" s="214">
        <v>0</v>
      </c>
      <c r="S57" s="214">
        <v>0</v>
      </c>
    </row>
    <row r="58" spans="1:21" x14ac:dyDescent="0.25">
      <c r="B58" s="107"/>
      <c r="G58" s="82" t="s">
        <v>252</v>
      </c>
    </row>
    <row r="59" spans="1:21" x14ac:dyDescent="0.25">
      <c r="G59" s="102" t="s">
        <v>85</v>
      </c>
      <c r="H59" s="222">
        <f>H113</f>
        <v>0</v>
      </c>
      <c r="I59" s="222">
        <f t="shared" ref="I59:S59" si="13">I113</f>
        <v>0</v>
      </c>
      <c r="J59" s="222">
        <f t="shared" si="13"/>
        <v>0</v>
      </c>
      <c r="K59" s="222">
        <f t="shared" si="13"/>
        <v>0</v>
      </c>
      <c r="L59" s="222">
        <f t="shared" si="13"/>
        <v>0</v>
      </c>
      <c r="M59" s="222">
        <f t="shared" si="13"/>
        <v>0</v>
      </c>
      <c r="N59" s="222">
        <f t="shared" si="13"/>
        <v>0</v>
      </c>
      <c r="O59" s="222">
        <f t="shared" si="13"/>
        <v>0</v>
      </c>
      <c r="P59" s="222">
        <f t="shared" si="13"/>
        <v>0</v>
      </c>
      <c r="Q59" s="222">
        <f t="shared" si="13"/>
        <v>0</v>
      </c>
      <c r="R59" s="222">
        <f t="shared" si="13"/>
        <v>0</v>
      </c>
      <c r="S59" s="222">
        <f t="shared" si="13"/>
        <v>0</v>
      </c>
    </row>
    <row r="60" spans="1:21" x14ac:dyDescent="0.25">
      <c r="G60" s="102" t="s">
        <v>86</v>
      </c>
      <c r="H60" s="222">
        <f>H118</f>
        <v>0</v>
      </c>
      <c r="I60" s="222">
        <f t="shared" ref="I60:S60" si="14">I118</f>
        <v>0</v>
      </c>
      <c r="J60" s="222">
        <f t="shared" si="14"/>
        <v>0</v>
      </c>
      <c r="K60" s="222">
        <f t="shared" si="14"/>
        <v>0</v>
      </c>
      <c r="L60" s="222">
        <f t="shared" si="14"/>
        <v>0</v>
      </c>
      <c r="M60" s="222">
        <f t="shared" si="14"/>
        <v>0</v>
      </c>
      <c r="N60" s="222">
        <f t="shared" si="14"/>
        <v>0</v>
      </c>
      <c r="O60" s="222">
        <f t="shared" si="14"/>
        <v>0</v>
      </c>
      <c r="P60" s="222">
        <f t="shared" si="14"/>
        <v>0</v>
      </c>
      <c r="Q60" s="222">
        <f t="shared" si="14"/>
        <v>0</v>
      </c>
      <c r="R60" s="222">
        <f t="shared" si="14"/>
        <v>0</v>
      </c>
      <c r="S60" s="222">
        <f t="shared" si="14"/>
        <v>0</v>
      </c>
    </row>
    <row r="61" spans="1:21" x14ac:dyDescent="0.25">
      <c r="G61" s="102" t="s">
        <v>87</v>
      </c>
      <c r="H61" s="222">
        <f>H123</f>
        <v>0</v>
      </c>
      <c r="I61" s="222">
        <f t="shared" ref="I61:S61" si="15">I123</f>
        <v>0</v>
      </c>
      <c r="J61" s="222">
        <f t="shared" si="15"/>
        <v>0</v>
      </c>
      <c r="K61" s="222">
        <f t="shared" si="15"/>
        <v>0</v>
      </c>
      <c r="L61" s="222">
        <f t="shared" si="15"/>
        <v>0</v>
      </c>
      <c r="M61" s="222">
        <f t="shared" si="15"/>
        <v>0</v>
      </c>
      <c r="N61" s="222">
        <f t="shared" si="15"/>
        <v>0</v>
      </c>
      <c r="O61" s="222">
        <f t="shared" si="15"/>
        <v>0</v>
      </c>
      <c r="P61" s="222">
        <f t="shared" si="15"/>
        <v>0</v>
      </c>
      <c r="Q61" s="222">
        <f t="shared" si="15"/>
        <v>0</v>
      </c>
      <c r="R61" s="222">
        <f t="shared" si="15"/>
        <v>0</v>
      </c>
      <c r="S61" s="222">
        <f t="shared" si="15"/>
        <v>0</v>
      </c>
    </row>
    <row r="62" spans="1:21" x14ac:dyDescent="0.25">
      <c r="G62" s="215" t="s">
        <v>298</v>
      </c>
    </row>
    <row r="63" spans="1:21" s="155" customFormat="1" x14ac:dyDescent="0.25">
      <c r="G63" s="81"/>
      <c r="H63" s="81"/>
      <c r="I63" s="118"/>
      <c r="J63" s="118"/>
      <c r="K63" s="118"/>
      <c r="L63" s="118"/>
      <c r="M63" s="118"/>
      <c r="N63" s="118"/>
      <c r="O63" s="81"/>
    </row>
    <row r="64" spans="1:21" s="155" customFormat="1" x14ac:dyDescent="0.25">
      <c r="G64" s="119"/>
      <c r="H64" s="353"/>
      <c r="I64" s="223"/>
      <c r="J64" s="223"/>
      <c r="K64" s="223"/>
      <c r="L64" s="223"/>
      <c r="M64" s="223"/>
      <c r="N64" s="223"/>
      <c r="O64" s="118"/>
    </row>
    <row r="65" spans="1:15" s="155" customFormat="1" x14ac:dyDescent="0.25">
      <c r="G65" s="119"/>
      <c r="H65" s="353"/>
      <c r="I65" s="223"/>
      <c r="J65" s="223"/>
      <c r="K65" s="223"/>
      <c r="L65" s="223"/>
      <c r="M65" s="223"/>
      <c r="N65" s="223"/>
      <c r="O65" s="118"/>
    </row>
    <row r="66" spans="1:15" s="155" customFormat="1" x14ac:dyDescent="0.25">
      <c r="G66" s="119"/>
      <c r="H66" s="353"/>
      <c r="I66" s="223"/>
      <c r="J66" s="223"/>
      <c r="K66" s="223"/>
      <c r="L66" s="223"/>
      <c r="M66" s="223"/>
      <c r="N66" s="223"/>
      <c r="O66" s="118"/>
    </row>
    <row r="67" spans="1:15" s="155" customFormat="1" x14ac:dyDescent="0.25">
      <c r="G67" s="119"/>
      <c r="H67" s="353"/>
      <c r="I67" s="223"/>
      <c r="J67" s="223"/>
      <c r="K67" s="223"/>
      <c r="L67" s="223"/>
      <c r="M67" s="223"/>
      <c r="N67" s="223"/>
      <c r="O67" s="118"/>
    </row>
    <row r="68" spans="1:15" s="155" customFormat="1" x14ac:dyDescent="0.25">
      <c r="G68" s="119"/>
      <c r="H68" s="353"/>
      <c r="I68" s="223"/>
      <c r="J68" s="223"/>
      <c r="K68" s="223"/>
      <c r="L68" s="223"/>
      <c r="M68" s="223"/>
      <c r="N68" s="223"/>
      <c r="O68" s="118"/>
    </row>
    <row r="69" spans="1:15" s="155" customFormat="1" x14ac:dyDescent="0.25">
      <c r="G69" s="119"/>
      <c r="H69" s="353"/>
      <c r="I69" s="223"/>
      <c r="J69" s="223"/>
      <c r="K69" s="223"/>
      <c r="L69" s="223"/>
      <c r="M69" s="223"/>
      <c r="N69" s="223"/>
      <c r="O69" s="118"/>
    </row>
    <row r="70" spans="1:15" s="155" customFormat="1" x14ac:dyDescent="0.25">
      <c r="G70" s="119"/>
      <c r="H70" s="197"/>
      <c r="I70" s="223"/>
      <c r="J70" s="223"/>
      <c r="K70" s="223"/>
      <c r="L70" s="223"/>
      <c r="M70" s="223"/>
      <c r="N70" s="223"/>
      <c r="O70" s="118"/>
    </row>
    <row r="71" spans="1:15" s="155" customFormat="1" x14ac:dyDescent="0.25">
      <c r="G71" s="119"/>
      <c r="H71" s="197"/>
      <c r="I71" s="223"/>
      <c r="J71" s="223"/>
      <c r="K71" s="223"/>
      <c r="L71" s="223"/>
      <c r="M71" s="223"/>
      <c r="N71" s="223"/>
      <c r="O71" s="118"/>
    </row>
    <row r="72" spans="1:15" s="155" customFormat="1" x14ac:dyDescent="0.25">
      <c r="G72" s="119"/>
      <c r="H72" s="197"/>
      <c r="I72" s="223"/>
      <c r="J72" s="223"/>
      <c r="K72" s="223"/>
      <c r="L72" s="223"/>
      <c r="M72" s="223"/>
      <c r="N72" s="223"/>
      <c r="O72" s="118"/>
    </row>
    <row r="73" spans="1:15" s="155" customFormat="1" x14ac:dyDescent="0.25">
      <c r="G73" s="119"/>
      <c r="H73" s="197"/>
      <c r="I73" s="223"/>
      <c r="J73" s="223"/>
      <c r="K73" s="223"/>
      <c r="L73" s="223"/>
      <c r="M73" s="223"/>
      <c r="N73" s="223"/>
      <c r="O73" s="118"/>
    </row>
    <row r="74" spans="1:15" s="155" customFormat="1" x14ac:dyDescent="0.25">
      <c r="G74" s="119"/>
      <c r="H74" s="197"/>
      <c r="I74" s="223"/>
      <c r="J74" s="223"/>
      <c r="K74" s="223"/>
      <c r="L74" s="223"/>
      <c r="M74" s="223"/>
      <c r="N74" s="223"/>
      <c r="O74" s="118"/>
    </row>
    <row r="75" spans="1:15" s="155" customFormat="1" x14ac:dyDescent="0.25">
      <c r="G75" s="119"/>
      <c r="H75" s="197"/>
      <c r="I75" s="223"/>
      <c r="J75" s="223"/>
      <c r="K75" s="223"/>
      <c r="L75" s="223"/>
      <c r="M75" s="223"/>
      <c r="N75" s="223"/>
      <c r="O75" s="118"/>
    </row>
    <row r="76" spans="1:15" s="155" customFormat="1" x14ac:dyDescent="0.25">
      <c r="G76" s="119"/>
      <c r="H76" s="197"/>
      <c r="I76" s="223"/>
      <c r="J76" s="223"/>
      <c r="K76" s="223"/>
      <c r="L76" s="223"/>
      <c r="M76" s="223"/>
      <c r="N76" s="223"/>
      <c r="O76" s="118"/>
    </row>
    <row r="77" spans="1:15" s="155" customFormat="1" x14ac:dyDescent="0.25">
      <c r="G77" s="119"/>
      <c r="H77" s="197"/>
      <c r="I77" s="223"/>
      <c r="J77" s="223"/>
      <c r="K77" s="223"/>
      <c r="L77" s="223"/>
      <c r="M77" s="223"/>
      <c r="N77" s="223"/>
      <c r="O77" s="118"/>
    </row>
    <row r="78" spans="1:15" s="155" customFormat="1" x14ac:dyDescent="0.25">
      <c r="G78" s="119"/>
      <c r="H78" s="197"/>
      <c r="I78" s="223"/>
      <c r="J78" s="223"/>
      <c r="K78" s="223"/>
      <c r="L78" s="223"/>
      <c r="M78" s="223"/>
      <c r="N78" s="223"/>
      <c r="O78" s="118"/>
    </row>
    <row r="79" spans="1:15" s="155" customFormat="1" x14ac:dyDescent="0.25">
      <c r="G79" s="119"/>
      <c r="H79" s="197"/>
      <c r="I79" s="223"/>
      <c r="J79" s="223"/>
      <c r="K79" s="223"/>
      <c r="L79" s="223"/>
      <c r="M79" s="223"/>
      <c r="N79" s="223"/>
      <c r="O79" s="118"/>
    </row>
    <row r="80" spans="1:15" s="155" customFormat="1" x14ac:dyDescent="0.25">
      <c r="A80" s="116"/>
      <c r="B80" s="210"/>
      <c r="G80" s="119"/>
      <c r="H80" s="197"/>
      <c r="I80" s="223"/>
      <c r="J80" s="223"/>
      <c r="K80" s="223"/>
      <c r="L80" s="223"/>
      <c r="M80" s="223"/>
      <c r="N80" s="223"/>
      <c r="O80" s="118"/>
    </row>
    <row r="81" spans="1:19" s="155" customFormat="1" x14ac:dyDescent="0.25">
      <c r="A81" s="116"/>
      <c r="B81" s="210"/>
      <c r="G81" s="119"/>
      <c r="H81" s="197"/>
      <c r="I81" s="223"/>
      <c r="J81" s="223"/>
      <c r="K81" s="223"/>
      <c r="L81" s="223"/>
      <c r="M81" s="223"/>
      <c r="N81" s="223"/>
      <c r="O81" s="118"/>
    </row>
    <row r="82" spans="1:19" s="155" customFormat="1" x14ac:dyDescent="0.25">
      <c r="A82" s="116"/>
      <c r="B82" s="210"/>
      <c r="G82" s="119"/>
      <c r="H82" s="197"/>
      <c r="I82" s="223"/>
      <c r="J82" s="223"/>
      <c r="K82" s="223"/>
      <c r="L82" s="223"/>
      <c r="M82" s="223"/>
      <c r="N82" s="223"/>
      <c r="O82" s="118"/>
    </row>
    <row r="83" spans="1:19" s="155" customFormat="1" x14ac:dyDescent="0.25">
      <c r="A83" s="116"/>
      <c r="B83" s="210"/>
      <c r="G83" s="119"/>
      <c r="H83" s="197"/>
      <c r="I83" s="223"/>
      <c r="J83" s="223"/>
      <c r="K83" s="223"/>
      <c r="L83" s="223"/>
      <c r="M83" s="223"/>
      <c r="N83" s="223"/>
      <c r="O83" s="118"/>
    </row>
    <row r="84" spans="1:19" s="155" customFormat="1" x14ac:dyDescent="0.25">
      <c r="A84" s="116"/>
      <c r="B84" s="210"/>
      <c r="G84" s="119"/>
      <c r="H84" s="197"/>
      <c r="I84" s="223"/>
      <c r="J84" s="223"/>
      <c r="K84" s="223"/>
      <c r="L84" s="223"/>
      <c r="M84" s="223"/>
      <c r="N84" s="223"/>
      <c r="O84" s="118"/>
    </row>
    <row r="85" spans="1:19" s="155" customFormat="1" x14ac:dyDescent="0.25">
      <c r="A85" s="116"/>
      <c r="B85" s="210"/>
      <c r="G85" s="119"/>
      <c r="H85" s="197"/>
      <c r="I85" s="223"/>
      <c r="J85" s="223"/>
      <c r="K85" s="223"/>
      <c r="L85" s="223"/>
      <c r="M85" s="223"/>
      <c r="N85" s="223"/>
      <c r="O85" s="118"/>
    </row>
    <row r="86" spans="1:19" s="155" customFormat="1" x14ac:dyDescent="0.25">
      <c r="A86" s="116"/>
      <c r="B86" s="210"/>
      <c r="G86" s="119"/>
      <c r="H86" s="197"/>
      <c r="I86" s="223"/>
      <c r="J86" s="223"/>
      <c r="K86" s="223"/>
      <c r="L86" s="223"/>
      <c r="M86" s="223"/>
      <c r="N86" s="223"/>
      <c r="O86" s="118"/>
    </row>
    <row r="87" spans="1:19" s="155" customFormat="1" x14ac:dyDescent="0.25">
      <c r="A87" s="116"/>
      <c r="B87" s="210"/>
      <c r="G87" s="119"/>
      <c r="H87" s="197"/>
      <c r="I87" s="223"/>
      <c r="J87" s="223"/>
      <c r="K87" s="223"/>
      <c r="L87" s="223"/>
      <c r="M87" s="223"/>
      <c r="N87" s="223"/>
      <c r="O87" s="118"/>
    </row>
    <row r="88" spans="1:19" s="155" customFormat="1" x14ac:dyDescent="0.25">
      <c r="A88" s="116"/>
      <c r="B88" s="210"/>
      <c r="G88" s="119"/>
      <c r="H88" s="197"/>
      <c r="I88" s="223"/>
      <c r="J88" s="223"/>
      <c r="K88" s="223"/>
      <c r="L88" s="223"/>
      <c r="M88" s="223"/>
      <c r="N88" s="223"/>
      <c r="O88" s="118"/>
    </row>
    <row r="89" spans="1:19" s="155" customFormat="1" x14ac:dyDescent="0.25">
      <c r="A89" s="116"/>
      <c r="B89" s="210"/>
      <c r="G89" s="119"/>
      <c r="H89" s="197"/>
      <c r="I89" s="223"/>
      <c r="J89" s="223"/>
      <c r="K89" s="223"/>
      <c r="L89" s="223"/>
      <c r="M89" s="223"/>
      <c r="N89" s="223"/>
      <c r="O89" s="118"/>
    </row>
    <row r="90" spans="1:19" s="155" customFormat="1" x14ac:dyDescent="0.25">
      <c r="A90" s="116"/>
      <c r="B90" s="210"/>
      <c r="G90" s="119"/>
      <c r="H90" s="197"/>
      <c r="I90" s="223"/>
      <c r="J90" s="223"/>
      <c r="K90" s="223"/>
      <c r="L90" s="223"/>
      <c r="M90" s="223"/>
      <c r="N90" s="223"/>
      <c r="O90" s="118"/>
    </row>
    <row r="91" spans="1:19" s="155" customFormat="1" x14ac:dyDescent="0.25">
      <c r="A91" s="116"/>
      <c r="B91" s="210"/>
    </row>
    <row r="92" spans="1:19" s="155" customFormat="1" x14ac:dyDescent="0.25">
      <c r="A92" s="116"/>
      <c r="B92" s="210"/>
    </row>
    <row r="93" spans="1:19" x14ac:dyDescent="0.25">
      <c r="A93" s="116"/>
      <c r="B93" s="210"/>
      <c r="C93" s="155"/>
    </row>
    <row r="94" spans="1:19" x14ac:dyDescent="0.25">
      <c r="A94" s="116"/>
      <c r="B94" s="210"/>
      <c r="C94" s="155"/>
      <c r="G94" s="224" t="s">
        <v>259</v>
      </c>
    </row>
    <row r="95" spans="1:19" x14ac:dyDescent="0.25">
      <c r="A95" s="116"/>
      <c r="B95" s="210"/>
      <c r="C95" s="155"/>
      <c r="G95" s="212"/>
      <c r="H95" s="150" t="s">
        <v>260</v>
      </c>
    </row>
    <row r="96" spans="1:19" x14ac:dyDescent="0.25">
      <c r="A96" s="116"/>
      <c r="B96" s="210"/>
      <c r="C96" s="155"/>
      <c r="G96" s="150" t="s">
        <v>258</v>
      </c>
      <c r="H96" s="81">
        <f t="shared" ref="H96:S96" si="16">H48/ABS(H33+0.000001)</f>
        <v>3.999999840000006E-8</v>
      </c>
      <c r="I96" s="81">
        <f t="shared" si="16"/>
        <v>3.999999840000006E-8</v>
      </c>
      <c r="J96" s="81">
        <f t="shared" si="16"/>
        <v>4.0000001600000061E-8</v>
      </c>
      <c r="K96" s="81">
        <f t="shared" si="16"/>
        <v>4.0000001600000061E-8</v>
      </c>
      <c r="L96" s="81">
        <f t="shared" si="16"/>
        <v>0</v>
      </c>
      <c r="M96" s="81">
        <f t="shared" si="16"/>
        <v>0</v>
      </c>
      <c r="N96" s="81">
        <f t="shared" si="16"/>
        <v>0</v>
      </c>
      <c r="O96" s="81">
        <f t="shared" si="16"/>
        <v>0</v>
      </c>
      <c r="P96" s="81">
        <f t="shared" si="16"/>
        <v>0</v>
      </c>
      <c r="Q96" s="81">
        <f t="shared" si="16"/>
        <v>0</v>
      </c>
      <c r="R96" s="81">
        <f t="shared" si="16"/>
        <v>0</v>
      </c>
      <c r="S96" s="81">
        <f t="shared" si="16"/>
        <v>0</v>
      </c>
    </row>
    <row r="97" spans="1:19" x14ac:dyDescent="0.25">
      <c r="A97" s="116"/>
      <c r="B97" s="210"/>
      <c r="C97" s="155"/>
      <c r="G97" s="150" t="s">
        <v>258</v>
      </c>
      <c r="H97" s="81">
        <f t="shared" ref="H97:S97" si="17">H49/ABS(H32+0.000001)</f>
        <v>3.9999998400000067E-7</v>
      </c>
      <c r="I97" s="81">
        <f t="shared" si="17"/>
        <v>4.0000001600000068E-7</v>
      </c>
      <c r="J97" s="81">
        <f t="shared" si="17"/>
        <v>3.9999998400000067E-7</v>
      </c>
      <c r="K97" s="81">
        <f t="shared" si="17"/>
        <v>4.0000001600000068E-7</v>
      </c>
      <c r="L97" s="81">
        <f t="shared" si="17"/>
        <v>0</v>
      </c>
      <c r="M97" s="81">
        <f t="shared" si="17"/>
        <v>0</v>
      </c>
      <c r="N97" s="81">
        <f t="shared" si="17"/>
        <v>0</v>
      </c>
      <c r="O97" s="81">
        <f t="shared" si="17"/>
        <v>0</v>
      </c>
      <c r="P97" s="81">
        <f t="shared" si="17"/>
        <v>0</v>
      </c>
      <c r="Q97" s="81">
        <f t="shared" si="17"/>
        <v>0</v>
      </c>
      <c r="R97" s="81">
        <f t="shared" si="17"/>
        <v>0</v>
      </c>
      <c r="S97" s="81">
        <f t="shared" si="17"/>
        <v>0</v>
      </c>
    </row>
    <row r="98" spans="1:19" x14ac:dyDescent="0.25">
      <c r="A98" s="116"/>
      <c r="B98" s="210"/>
      <c r="C98" s="155"/>
      <c r="G98" s="81" t="s">
        <v>256</v>
      </c>
      <c r="H98" s="225">
        <f>IF(MIN(H96,H97)&gt;1,0,MIN(H96,H97))</f>
        <v>3.999999840000006E-8</v>
      </c>
      <c r="I98" s="225">
        <f t="shared" ref="I98:S98" si="18">IF(MIN(I96,I97)&gt;1,0,MIN(I96,I97))</f>
        <v>3.999999840000006E-8</v>
      </c>
      <c r="J98" s="225">
        <f t="shared" si="18"/>
        <v>4.0000001600000061E-8</v>
      </c>
      <c r="K98" s="225">
        <f t="shared" si="18"/>
        <v>4.0000001600000061E-8</v>
      </c>
      <c r="L98" s="225">
        <f t="shared" si="18"/>
        <v>0</v>
      </c>
      <c r="M98" s="225">
        <f t="shared" si="18"/>
        <v>0</v>
      </c>
      <c r="N98" s="225">
        <f t="shared" si="18"/>
        <v>0</v>
      </c>
      <c r="O98" s="225">
        <f t="shared" si="18"/>
        <v>0</v>
      </c>
      <c r="P98" s="225">
        <f t="shared" si="18"/>
        <v>0</v>
      </c>
      <c r="Q98" s="225">
        <f t="shared" si="18"/>
        <v>0</v>
      </c>
      <c r="R98" s="225">
        <f t="shared" si="18"/>
        <v>0</v>
      </c>
      <c r="S98" s="225">
        <f t="shared" si="18"/>
        <v>0</v>
      </c>
    </row>
    <row r="99" spans="1:19" x14ac:dyDescent="0.25">
      <c r="A99" s="116"/>
      <c r="B99" s="210"/>
      <c r="C99" s="155"/>
      <c r="H99" s="150" t="s">
        <v>261</v>
      </c>
      <c r="I99" s="150"/>
      <c r="J99" s="150"/>
      <c r="K99" s="150"/>
      <c r="L99" s="150"/>
      <c r="M99" s="150"/>
      <c r="N99" s="150"/>
      <c r="O99" s="150"/>
      <c r="P99" s="150"/>
      <c r="Q99" s="150"/>
      <c r="R99" s="150"/>
      <c r="S99" s="150"/>
    </row>
    <row r="100" spans="1:19" x14ac:dyDescent="0.25">
      <c r="A100" s="116"/>
      <c r="B100" s="210"/>
      <c r="C100" s="155"/>
      <c r="G100" s="115" t="s">
        <v>258</v>
      </c>
      <c r="H100" s="155">
        <f t="shared" ref="H100:S100" si="19">H49/ABS(H31+0.000001)</f>
        <v>10.000000000000002</v>
      </c>
      <c r="I100" s="155">
        <f t="shared" si="19"/>
        <v>10.000000000000002</v>
      </c>
      <c r="J100" s="155">
        <f t="shared" si="19"/>
        <v>10.000000000000002</v>
      </c>
      <c r="K100" s="155">
        <f t="shared" si="19"/>
        <v>10.000000000000002</v>
      </c>
      <c r="L100" s="155">
        <f t="shared" si="19"/>
        <v>0</v>
      </c>
      <c r="M100" s="155">
        <f t="shared" si="19"/>
        <v>0</v>
      </c>
      <c r="N100" s="155">
        <f t="shared" si="19"/>
        <v>0</v>
      </c>
      <c r="O100" s="155">
        <f t="shared" si="19"/>
        <v>0</v>
      </c>
      <c r="P100" s="155">
        <f t="shared" si="19"/>
        <v>0</v>
      </c>
      <c r="Q100" s="155">
        <f t="shared" si="19"/>
        <v>0</v>
      </c>
      <c r="R100" s="155">
        <f t="shared" si="19"/>
        <v>0</v>
      </c>
      <c r="S100" s="155">
        <f t="shared" si="19"/>
        <v>0</v>
      </c>
    </row>
    <row r="101" spans="1:19" x14ac:dyDescent="0.25">
      <c r="A101" s="116"/>
      <c r="B101" s="210"/>
      <c r="C101" s="155"/>
      <c r="G101" s="115" t="s">
        <v>258</v>
      </c>
      <c r="H101" s="226">
        <f t="shared" ref="H101:S101" si="20">H47/ABS(H33+0.000001)</f>
        <v>3.9999998400000067E-7</v>
      </c>
      <c r="I101" s="226">
        <f t="shared" si="20"/>
        <v>3.9999998400000067E-7</v>
      </c>
      <c r="J101" s="226">
        <f t="shared" si="20"/>
        <v>4.0000001600000068E-7</v>
      </c>
      <c r="K101" s="226">
        <f t="shared" si="20"/>
        <v>4.0000001600000068E-7</v>
      </c>
      <c r="L101" s="226">
        <f t="shared" si="20"/>
        <v>0</v>
      </c>
      <c r="M101" s="226">
        <f t="shared" si="20"/>
        <v>0</v>
      </c>
      <c r="N101" s="226">
        <f t="shared" si="20"/>
        <v>0</v>
      </c>
      <c r="O101" s="226">
        <f t="shared" si="20"/>
        <v>0</v>
      </c>
      <c r="P101" s="226">
        <f t="shared" si="20"/>
        <v>0</v>
      </c>
      <c r="Q101" s="226">
        <f t="shared" si="20"/>
        <v>0</v>
      </c>
      <c r="R101" s="226">
        <f t="shared" si="20"/>
        <v>0</v>
      </c>
      <c r="S101" s="226">
        <f t="shared" si="20"/>
        <v>0</v>
      </c>
    </row>
    <row r="102" spans="1:19" x14ac:dyDescent="0.25">
      <c r="A102" s="116"/>
      <c r="B102" s="210"/>
      <c r="C102" s="155"/>
      <c r="G102" s="81" t="s">
        <v>256</v>
      </c>
      <c r="H102" s="225">
        <f>IF(MIN(H100,H101)&gt;1,0,MIN(H100,H101))</f>
        <v>3.9999998400000067E-7</v>
      </c>
      <c r="I102" s="225">
        <f t="shared" ref="I102:S102" si="21">IF(MIN(I100,I101)&gt;1,0,MIN(I100,I101))</f>
        <v>3.9999998400000067E-7</v>
      </c>
      <c r="J102" s="225">
        <f t="shared" si="21"/>
        <v>4.0000001600000068E-7</v>
      </c>
      <c r="K102" s="225">
        <f t="shared" si="21"/>
        <v>4.0000001600000068E-7</v>
      </c>
      <c r="L102" s="225">
        <f t="shared" si="21"/>
        <v>0</v>
      </c>
      <c r="M102" s="225">
        <f t="shared" si="21"/>
        <v>0</v>
      </c>
      <c r="N102" s="225">
        <f t="shared" si="21"/>
        <v>0</v>
      </c>
      <c r="O102" s="225">
        <f t="shared" si="21"/>
        <v>0</v>
      </c>
      <c r="P102" s="225">
        <f t="shared" si="21"/>
        <v>0</v>
      </c>
      <c r="Q102" s="225">
        <f t="shared" si="21"/>
        <v>0</v>
      </c>
      <c r="R102" s="225">
        <f t="shared" si="21"/>
        <v>0</v>
      </c>
      <c r="S102" s="225">
        <f t="shared" si="21"/>
        <v>0</v>
      </c>
    </row>
    <row r="103" spans="1:19" x14ac:dyDescent="0.25">
      <c r="A103" s="116"/>
      <c r="B103" s="210"/>
      <c r="C103" s="155"/>
      <c r="H103" s="81" t="s">
        <v>262</v>
      </c>
    </row>
    <row r="104" spans="1:19" x14ac:dyDescent="0.25">
      <c r="A104" s="116"/>
      <c r="B104" s="210"/>
      <c r="C104" s="155"/>
      <c r="G104" s="150" t="s">
        <v>258</v>
      </c>
      <c r="H104" s="81">
        <f t="shared" ref="H104:S104" si="22">H48/ABS(H31+0.000001)</f>
        <v>1</v>
      </c>
      <c r="I104" s="81">
        <f t="shared" si="22"/>
        <v>1</v>
      </c>
      <c r="J104" s="81">
        <f t="shared" si="22"/>
        <v>1</v>
      </c>
      <c r="K104" s="81">
        <f t="shared" si="22"/>
        <v>1</v>
      </c>
      <c r="L104" s="81">
        <f t="shared" si="22"/>
        <v>0</v>
      </c>
      <c r="M104" s="81">
        <f t="shared" si="22"/>
        <v>0</v>
      </c>
      <c r="N104" s="81">
        <f t="shared" si="22"/>
        <v>0</v>
      </c>
      <c r="O104" s="81">
        <f t="shared" si="22"/>
        <v>0</v>
      </c>
      <c r="P104" s="81">
        <f t="shared" si="22"/>
        <v>0</v>
      </c>
      <c r="Q104" s="81">
        <f t="shared" si="22"/>
        <v>0</v>
      </c>
      <c r="R104" s="81">
        <f t="shared" si="22"/>
        <v>0</v>
      </c>
      <c r="S104" s="81">
        <f t="shared" si="22"/>
        <v>0</v>
      </c>
    </row>
    <row r="105" spans="1:19" x14ac:dyDescent="0.25">
      <c r="A105" s="116"/>
      <c r="B105" s="210"/>
      <c r="C105" s="155"/>
      <c r="G105" s="150" t="s">
        <v>258</v>
      </c>
      <c r="H105" s="81">
        <f t="shared" ref="H105:S105" si="23">H47/ABS(H32+0.000001)</f>
        <v>3.9999998400000067E-7</v>
      </c>
      <c r="I105" s="81">
        <f t="shared" si="23"/>
        <v>4.0000001600000068E-7</v>
      </c>
      <c r="J105" s="81">
        <f t="shared" si="23"/>
        <v>3.9999998400000067E-7</v>
      </c>
      <c r="K105" s="81">
        <f t="shared" si="23"/>
        <v>4.0000001600000068E-7</v>
      </c>
      <c r="L105" s="81">
        <f t="shared" si="23"/>
        <v>0</v>
      </c>
      <c r="M105" s="81">
        <f t="shared" si="23"/>
        <v>0</v>
      </c>
      <c r="N105" s="81">
        <f t="shared" si="23"/>
        <v>0</v>
      </c>
      <c r="O105" s="81">
        <f t="shared" si="23"/>
        <v>0</v>
      </c>
      <c r="P105" s="81">
        <f t="shared" si="23"/>
        <v>0</v>
      </c>
      <c r="Q105" s="81">
        <f t="shared" si="23"/>
        <v>0</v>
      </c>
      <c r="R105" s="81">
        <f t="shared" si="23"/>
        <v>0</v>
      </c>
      <c r="S105" s="81">
        <f t="shared" si="23"/>
        <v>0</v>
      </c>
    </row>
    <row r="106" spans="1:19" x14ac:dyDescent="0.25">
      <c r="A106" s="116"/>
      <c r="B106" s="210"/>
      <c r="C106" s="155"/>
      <c r="G106" s="81" t="s">
        <v>256</v>
      </c>
      <c r="H106" s="225">
        <f>IF(MIN(H104,H105)&gt;1,0,MIN(H104,H105))</f>
        <v>3.9999998400000067E-7</v>
      </c>
      <c r="I106" s="225">
        <f t="shared" ref="I106:S106" si="24">IF(MIN(I104,I105)&gt;1,0,MIN(I104,I105))</f>
        <v>4.0000001600000068E-7</v>
      </c>
      <c r="J106" s="225">
        <f t="shared" si="24"/>
        <v>3.9999998400000067E-7</v>
      </c>
      <c r="K106" s="225">
        <f t="shared" si="24"/>
        <v>4.0000001600000068E-7</v>
      </c>
      <c r="L106" s="225">
        <f t="shared" si="24"/>
        <v>0</v>
      </c>
      <c r="M106" s="225">
        <f t="shared" si="24"/>
        <v>0</v>
      </c>
      <c r="N106" s="225">
        <f t="shared" si="24"/>
        <v>0</v>
      </c>
      <c r="O106" s="225">
        <f t="shared" si="24"/>
        <v>0</v>
      </c>
      <c r="P106" s="225">
        <f t="shared" si="24"/>
        <v>0</v>
      </c>
      <c r="Q106" s="225">
        <f t="shared" si="24"/>
        <v>0</v>
      </c>
      <c r="R106" s="225">
        <f t="shared" si="24"/>
        <v>0</v>
      </c>
      <c r="S106" s="225">
        <f t="shared" si="24"/>
        <v>0</v>
      </c>
    </row>
    <row r="107" spans="1:19" x14ac:dyDescent="0.25">
      <c r="A107" s="116"/>
      <c r="B107" s="210"/>
      <c r="C107" s="155"/>
    </row>
    <row r="108" spans="1:19" x14ac:dyDescent="0.25">
      <c r="A108" s="116"/>
      <c r="B108" s="210"/>
      <c r="C108" s="155"/>
      <c r="G108" s="224" t="s">
        <v>308</v>
      </c>
      <c r="H108" s="224"/>
      <c r="I108" s="224"/>
      <c r="J108" s="224"/>
      <c r="K108" s="224"/>
      <c r="L108" s="224"/>
      <c r="M108" s="224"/>
      <c r="N108" s="224"/>
      <c r="O108" s="224"/>
      <c r="P108" s="224"/>
    </row>
    <row r="109" spans="1:19" x14ac:dyDescent="0.25">
      <c r="A109" s="116"/>
      <c r="B109" s="210"/>
      <c r="C109" s="155"/>
      <c r="H109" s="102" t="s">
        <v>253</v>
      </c>
      <c r="I109" s="102"/>
      <c r="J109" s="102"/>
      <c r="K109" s="102"/>
      <c r="L109" s="102"/>
      <c r="M109" s="102"/>
      <c r="N109" s="102"/>
      <c r="O109" s="102"/>
      <c r="P109" s="102"/>
      <c r="Q109" s="102"/>
      <c r="R109" s="102"/>
      <c r="S109" s="102"/>
    </row>
    <row r="110" spans="1:19" x14ac:dyDescent="0.25">
      <c r="G110" s="150" t="s">
        <v>258</v>
      </c>
      <c r="H110" s="225">
        <f t="shared" ref="H110:S110" si="25">H56/(H33+0.000001)</f>
        <v>0</v>
      </c>
      <c r="I110" s="225">
        <f t="shared" si="25"/>
        <v>0</v>
      </c>
      <c r="J110" s="225">
        <f t="shared" si="25"/>
        <v>0</v>
      </c>
      <c r="K110" s="225">
        <f t="shared" si="25"/>
        <v>0</v>
      </c>
      <c r="L110" s="225">
        <f t="shared" si="25"/>
        <v>0</v>
      </c>
      <c r="M110" s="225">
        <f t="shared" si="25"/>
        <v>0</v>
      </c>
      <c r="N110" s="225">
        <f t="shared" si="25"/>
        <v>0</v>
      </c>
      <c r="O110" s="225">
        <f t="shared" si="25"/>
        <v>0</v>
      </c>
      <c r="P110" s="225">
        <f t="shared" si="25"/>
        <v>0</v>
      </c>
      <c r="Q110" s="225">
        <f t="shared" si="25"/>
        <v>0</v>
      </c>
      <c r="R110" s="225">
        <f t="shared" si="25"/>
        <v>0</v>
      </c>
      <c r="S110" s="225">
        <f t="shared" si="25"/>
        <v>0</v>
      </c>
    </row>
    <row r="111" spans="1:19" x14ac:dyDescent="0.25">
      <c r="G111" s="150" t="s">
        <v>258</v>
      </c>
      <c r="H111" s="227">
        <f t="shared" ref="H111:S111" si="26">H57/(H32+0.000001)</f>
        <v>0</v>
      </c>
      <c r="I111" s="227">
        <f t="shared" si="26"/>
        <v>0</v>
      </c>
      <c r="J111" s="227">
        <f t="shared" si="26"/>
        <v>0</v>
      </c>
      <c r="K111" s="227">
        <f t="shared" si="26"/>
        <v>0</v>
      </c>
      <c r="L111" s="227">
        <f t="shared" si="26"/>
        <v>0</v>
      </c>
      <c r="M111" s="227">
        <f t="shared" si="26"/>
        <v>0</v>
      </c>
      <c r="N111" s="227">
        <f t="shared" si="26"/>
        <v>0</v>
      </c>
      <c r="O111" s="227">
        <f t="shared" si="26"/>
        <v>0</v>
      </c>
      <c r="P111" s="227">
        <f t="shared" si="26"/>
        <v>0</v>
      </c>
      <c r="Q111" s="227">
        <f t="shared" si="26"/>
        <v>0</v>
      </c>
      <c r="R111" s="227">
        <f t="shared" si="26"/>
        <v>0</v>
      </c>
      <c r="S111" s="227">
        <f t="shared" si="26"/>
        <v>0</v>
      </c>
    </row>
    <row r="112" spans="1:19" x14ac:dyDescent="0.25">
      <c r="G112" s="81" t="s">
        <v>257</v>
      </c>
      <c r="H112" s="144">
        <f>SIGN(H110+0.000000000001)*SIGN(H111+0.000000000001)</f>
        <v>1</v>
      </c>
      <c r="I112" s="144">
        <f t="shared" ref="I112:S112" si="27">SIGN(I110+0.000000000001)*SIGN(I111+0.000000000001)</f>
        <v>1</v>
      </c>
      <c r="J112" s="144">
        <f t="shared" si="27"/>
        <v>1</v>
      </c>
      <c r="K112" s="144">
        <f t="shared" si="27"/>
        <v>1</v>
      </c>
      <c r="L112" s="144">
        <f t="shared" si="27"/>
        <v>1</v>
      </c>
      <c r="M112" s="144">
        <f t="shared" si="27"/>
        <v>1</v>
      </c>
      <c r="N112" s="144">
        <f t="shared" si="27"/>
        <v>1</v>
      </c>
      <c r="O112" s="144">
        <f t="shared" si="27"/>
        <v>1</v>
      </c>
      <c r="P112" s="144">
        <f t="shared" si="27"/>
        <v>1</v>
      </c>
      <c r="Q112" s="144">
        <f t="shared" si="27"/>
        <v>1</v>
      </c>
      <c r="R112" s="144">
        <f t="shared" si="27"/>
        <v>1</v>
      </c>
      <c r="S112" s="144">
        <f t="shared" si="27"/>
        <v>1</v>
      </c>
    </row>
    <row r="113" spans="7:19" x14ac:dyDescent="0.25">
      <c r="G113" s="81" t="s">
        <v>256</v>
      </c>
      <c r="H113" s="225">
        <f>IF(H112*MIN(ABS(H110),ABS(H111))&gt;1,0,H112*MIN(ABS(H110),ABS(H111)))</f>
        <v>0</v>
      </c>
      <c r="I113" s="225">
        <f t="shared" ref="I113:S113" si="28">IF(I112*MIN(ABS(I110),ABS(I111))&gt;1,0,I112*MIN(ABS(I110),ABS(I111)))</f>
        <v>0</v>
      </c>
      <c r="J113" s="225">
        <f t="shared" si="28"/>
        <v>0</v>
      </c>
      <c r="K113" s="225">
        <f t="shared" si="28"/>
        <v>0</v>
      </c>
      <c r="L113" s="225">
        <f t="shared" si="28"/>
        <v>0</v>
      </c>
      <c r="M113" s="225">
        <f t="shared" si="28"/>
        <v>0</v>
      </c>
      <c r="N113" s="225">
        <f t="shared" si="28"/>
        <v>0</v>
      </c>
      <c r="O113" s="225">
        <f t="shared" si="28"/>
        <v>0</v>
      </c>
      <c r="P113" s="225">
        <f t="shared" si="28"/>
        <v>0</v>
      </c>
      <c r="Q113" s="225">
        <f t="shared" si="28"/>
        <v>0</v>
      </c>
      <c r="R113" s="225">
        <f t="shared" si="28"/>
        <v>0</v>
      </c>
      <c r="S113" s="225">
        <f t="shared" si="28"/>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5">
        <f t="shared" ref="H115:S115" si="29">-H57/(H31+0.000001)</f>
        <v>0</v>
      </c>
      <c r="I115" s="155">
        <f t="shared" si="29"/>
        <v>0</v>
      </c>
      <c r="J115" s="155">
        <f t="shared" si="29"/>
        <v>0</v>
      </c>
      <c r="K115" s="155">
        <f t="shared" si="29"/>
        <v>0</v>
      </c>
      <c r="L115" s="155">
        <f t="shared" si="29"/>
        <v>0</v>
      </c>
      <c r="M115" s="155">
        <f t="shared" si="29"/>
        <v>0</v>
      </c>
      <c r="N115" s="155">
        <f t="shared" si="29"/>
        <v>0</v>
      </c>
      <c r="O115" s="155">
        <f t="shared" si="29"/>
        <v>0</v>
      </c>
      <c r="P115" s="155">
        <f t="shared" si="29"/>
        <v>0</v>
      </c>
      <c r="Q115" s="155">
        <f t="shared" si="29"/>
        <v>0</v>
      </c>
      <c r="R115" s="155">
        <f t="shared" si="29"/>
        <v>0</v>
      </c>
      <c r="S115" s="155">
        <f t="shared" si="29"/>
        <v>0</v>
      </c>
    </row>
    <row r="116" spans="7:19" x14ac:dyDescent="0.25">
      <c r="G116" s="115" t="s">
        <v>258</v>
      </c>
      <c r="H116" s="155">
        <f t="shared" ref="H116:S116" si="30">H55/(H33+0.000001)</f>
        <v>0</v>
      </c>
      <c r="I116" s="155">
        <f t="shared" si="30"/>
        <v>0</v>
      </c>
      <c r="J116" s="155">
        <f t="shared" si="30"/>
        <v>0</v>
      </c>
      <c r="K116" s="155">
        <f t="shared" si="30"/>
        <v>0</v>
      </c>
      <c r="L116" s="155">
        <f t="shared" si="30"/>
        <v>0</v>
      </c>
      <c r="M116" s="155">
        <f t="shared" si="30"/>
        <v>0</v>
      </c>
      <c r="N116" s="155">
        <f t="shared" si="30"/>
        <v>0</v>
      </c>
      <c r="O116" s="155">
        <f t="shared" si="30"/>
        <v>0</v>
      </c>
      <c r="P116" s="155">
        <f t="shared" si="30"/>
        <v>0</v>
      </c>
      <c r="Q116" s="155">
        <f t="shared" si="30"/>
        <v>0</v>
      </c>
      <c r="R116" s="155">
        <f t="shared" si="30"/>
        <v>0</v>
      </c>
      <c r="S116" s="155">
        <f t="shared" si="30"/>
        <v>0</v>
      </c>
    </row>
    <row r="117" spans="7:19" x14ac:dyDescent="0.25">
      <c r="G117" s="155" t="s">
        <v>257</v>
      </c>
      <c r="H117" s="228">
        <f>SIGN(H115+0.000000000001)*SIGN(H116+0.000000000001)</f>
        <v>1</v>
      </c>
      <c r="I117" s="228">
        <f t="shared" ref="I117:S117" si="31">SIGN(I115+0.000000000001)*SIGN(I116+0.000000000001)</f>
        <v>1</v>
      </c>
      <c r="J117" s="228">
        <f t="shared" si="31"/>
        <v>1</v>
      </c>
      <c r="K117" s="228">
        <f t="shared" si="31"/>
        <v>1</v>
      </c>
      <c r="L117" s="228">
        <f t="shared" si="31"/>
        <v>1</v>
      </c>
      <c r="M117" s="228">
        <f t="shared" si="31"/>
        <v>1</v>
      </c>
      <c r="N117" s="228">
        <f t="shared" si="31"/>
        <v>1</v>
      </c>
      <c r="O117" s="228">
        <f t="shared" si="31"/>
        <v>1</v>
      </c>
      <c r="P117" s="228">
        <f t="shared" si="31"/>
        <v>1</v>
      </c>
      <c r="Q117" s="228">
        <f t="shared" si="31"/>
        <v>1</v>
      </c>
      <c r="R117" s="228">
        <f t="shared" si="31"/>
        <v>1</v>
      </c>
      <c r="S117" s="228">
        <f t="shared" si="31"/>
        <v>1</v>
      </c>
    </row>
    <row r="118" spans="7:19" x14ac:dyDescent="0.25">
      <c r="G118" s="155" t="s">
        <v>256</v>
      </c>
      <c r="H118" s="229">
        <f>IF(H117*MIN(ABS(H115),ABS(H116))&gt;1,0,H117*MIN(ABS(H115),ABS(H116)))</f>
        <v>0</v>
      </c>
      <c r="I118" s="229">
        <f t="shared" ref="I118:S118" si="32">IF(I117*MIN(ABS(I115),ABS(I116))&gt;1,0,I117*MIN(ABS(I115),ABS(I116)))</f>
        <v>0</v>
      </c>
      <c r="J118" s="229">
        <f t="shared" si="32"/>
        <v>0</v>
      </c>
      <c r="K118" s="229">
        <f t="shared" si="32"/>
        <v>0</v>
      </c>
      <c r="L118" s="229">
        <f t="shared" si="32"/>
        <v>0</v>
      </c>
      <c r="M118" s="229">
        <f t="shared" si="32"/>
        <v>0</v>
      </c>
      <c r="N118" s="229">
        <f t="shared" si="32"/>
        <v>0</v>
      </c>
      <c r="O118" s="229">
        <f t="shared" si="32"/>
        <v>0</v>
      </c>
      <c r="P118" s="229">
        <f t="shared" si="32"/>
        <v>0</v>
      </c>
      <c r="Q118" s="229">
        <f t="shared" si="32"/>
        <v>0</v>
      </c>
      <c r="R118" s="229">
        <f t="shared" si="32"/>
        <v>0</v>
      </c>
      <c r="S118" s="229">
        <f t="shared" si="32"/>
        <v>0</v>
      </c>
    </row>
    <row r="119" spans="7:19" x14ac:dyDescent="0.25">
      <c r="H119" s="102" t="s">
        <v>255</v>
      </c>
      <c r="I119" s="102"/>
      <c r="J119" s="102"/>
      <c r="K119" s="102"/>
      <c r="L119" s="102"/>
      <c r="M119" s="102"/>
      <c r="N119" s="102"/>
      <c r="O119" s="102"/>
      <c r="P119" s="102"/>
      <c r="Q119" s="102"/>
      <c r="R119" s="102"/>
      <c r="S119" s="102"/>
    </row>
    <row r="120" spans="7:19" x14ac:dyDescent="0.25">
      <c r="G120" s="150" t="s">
        <v>258</v>
      </c>
      <c r="H120" s="225">
        <f t="shared" ref="H120:S120" si="33">H56/(H31+0.000001)</f>
        <v>0</v>
      </c>
      <c r="I120" s="225">
        <f t="shared" si="33"/>
        <v>0</v>
      </c>
      <c r="J120" s="225">
        <f t="shared" si="33"/>
        <v>0</v>
      </c>
      <c r="K120" s="225">
        <f t="shared" si="33"/>
        <v>0</v>
      </c>
      <c r="L120" s="225">
        <f t="shared" si="33"/>
        <v>0</v>
      </c>
      <c r="M120" s="225">
        <f t="shared" si="33"/>
        <v>0</v>
      </c>
      <c r="N120" s="225">
        <f t="shared" si="33"/>
        <v>0</v>
      </c>
      <c r="O120" s="225">
        <f t="shared" si="33"/>
        <v>0</v>
      </c>
      <c r="P120" s="225">
        <f t="shared" si="33"/>
        <v>0</v>
      </c>
      <c r="Q120" s="225">
        <f t="shared" si="33"/>
        <v>0</v>
      </c>
      <c r="R120" s="225">
        <f t="shared" si="33"/>
        <v>0</v>
      </c>
      <c r="S120" s="225">
        <f t="shared" si="33"/>
        <v>0</v>
      </c>
    </row>
    <row r="121" spans="7:19" x14ac:dyDescent="0.25">
      <c r="G121" s="150" t="s">
        <v>258</v>
      </c>
      <c r="H121" s="81">
        <f t="shared" ref="H121:S121" si="34">H55/(H32+0.000001)</f>
        <v>0</v>
      </c>
      <c r="I121" s="81">
        <f t="shared" si="34"/>
        <v>0</v>
      </c>
      <c r="J121" s="81">
        <f t="shared" si="34"/>
        <v>0</v>
      </c>
      <c r="K121" s="81">
        <f t="shared" si="34"/>
        <v>0</v>
      </c>
      <c r="L121" s="81">
        <f t="shared" si="34"/>
        <v>0</v>
      </c>
      <c r="M121" s="81">
        <f t="shared" si="34"/>
        <v>0</v>
      </c>
      <c r="N121" s="81">
        <f t="shared" si="34"/>
        <v>0</v>
      </c>
      <c r="O121" s="81">
        <f t="shared" si="34"/>
        <v>0</v>
      </c>
      <c r="P121" s="81">
        <f t="shared" si="34"/>
        <v>0</v>
      </c>
      <c r="Q121" s="81">
        <f t="shared" si="34"/>
        <v>0</v>
      </c>
      <c r="R121" s="81">
        <f t="shared" si="34"/>
        <v>0</v>
      </c>
      <c r="S121" s="81">
        <f t="shared" si="34"/>
        <v>0</v>
      </c>
    </row>
    <row r="122" spans="7:19" x14ac:dyDescent="0.25">
      <c r="G122" s="81" t="s">
        <v>257</v>
      </c>
      <c r="H122" s="144">
        <f>SIGN(H120+0.000000000001)*SIGN(H121+0.000000000001)</f>
        <v>1</v>
      </c>
      <c r="I122" s="144">
        <f t="shared" ref="I122:S122" si="35">SIGN(I120+0.000000000001)*SIGN(I121+0.000000000001)</f>
        <v>1</v>
      </c>
      <c r="J122" s="144">
        <f t="shared" si="35"/>
        <v>1</v>
      </c>
      <c r="K122" s="144">
        <f t="shared" si="35"/>
        <v>1</v>
      </c>
      <c r="L122" s="144">
        <f t="shared" si="35"/>
        <v>1</v>
      </c>
      <c r="M122" s="144">
        <f t="shared" si="35"/>
        <v>1</v>
      </c>
      <c r="N122" s="144">
        <f t="shared" si="35"/>
        <v>1</v>
      </c>
      <c r="O122" s="144">
        <f t="shared" si="35"/>
        <v>1</v>
      </c>
      <c r="P122" s="144">
        <f t="shared" si="35"/>
        <v>1</v>
      </c>
      <c r="Q122" s="144">
        <f t="shared" si="35"/>
        <v>1</v>
      </c>
      <c r="R122" s="144">
        <f t="shared" si="35"/>
        <v>1</v>
      </c>
      <c r="S122" s="144">
        <f t="shared" si="35"/>
        <v>1</v>
      </c>
    </row>
    <row r="123" spans="7:19" x14ac:dyDescent="0.25">
      <c r="G123" s="81" t="s">
        <v>256</v>
      </c>
      <c r="H123" s="225">
        <f>IF(H122*MIN(ABS(H120),ABS(H121))&gt;1,0,H122*MIN(ABS(H120),ABS(H121)))</f>
        <v>0</v>
      </c>
      <c r="I123" s="225">
        <f t="shared" ref="I123:S123" si="36">IF(I122*MIN(ABS(I120),ABS(I121))&gt;1,0,I122*MIN(ABS(I120),ABS(I121)))</f>
        <v>0</v>
      </c>
      <c r="J123" s="225">
        <f t="shared" si="36"/>
        <v>0</v>
      </c>
      <c r="K123" s="225">
        <f t="shared" si="36"/>
        <v>0</v>
      </c>
      <c r="L123" s="225">
        <f t="shared" si="36"/>
        <v>0</v>
      </c>
      <c r="M123" s="225">
        <f t="shared" si="36"/>
        <v>0</v>
      </c>
      <c r="N123" s="225">
        <f t="shared" si="36"/>
        <v>0</v>
      </c>
      <c r="O123" s="225">
        <f t="shared" si="36"/>
        <v>0</v>
      </c>
      <c r="P123" s="225">
        <f t="shared" si="36"/>
        <v>0</v>
      </c>
      <c r="Q123" s="225">
        <f t="shared" si="36"/>
        <v>0</v>
      </c>
      <c r="R123" s="225">
        <f t="shared" si="36"/>
        <v>0</v>
      </c>
      <c r="S123" s="225">
        <f t="shared" si="36"/>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5"/>
      <c r="I126" s="225"/>
      <c r="J126" s="225"/>
      <c r="K126" s="225"/>
      <c r="L126" s="225"/>
      <c r="M126" s="225"/>
      <c r="N126" s="225"/>
      <c r="O126" s="225"/>
      <c r="P126" s="225"/>
      <c r="Q126" s="225"/>
      <c r="R126" s="225"/>
      <c r="S126" s="225"/>
    </row>
  </sheetData>
  <mergeCells count="5">
    <mergeCell ref="H38:K38"/>
    <mergeCell ref="H64:H69"/>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2" zoomScale="75" zoomScaleNormal="75" zoomScalePageLayoutView="75" workbookViewId="0">
      <selection activeCell="I17" sqref="I17"/>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11" width="11" style="81"/>
    <col min="12" max="12" width="16.125" style="81" customWidth="1"/>
    <col min="13" max="16384" width="11" style="81"/>
  </cols>
  <sheetData>
    <row r="1" spans="1:18" x14ac:dyDescent="0.25">
      <c r="A1" s="319" t="str">
        <f>'CSs and Loads'!A111</f>
        <v>CS 4</v>
      </c>
      <c r="B1" s="319" t="str">
        <f>'CSs and Loads'!A121</f>
        <v>Vise</v>
      </c>
    </row>
    <row r="2" spans="1:18" ht="16.5" thickBot="1" x14ac:dyDescent="0.3">
      <c r="A2" s="82" t="s">
        <v>132</v>
      </c>
      <c r="E2" s="177"/>
      <c r="F2" s="177"/>
      <c r="G2" s="177"/>
      <c r="H2" s="177"/>
      <c r="I2" s="243"/>
      <c r="J2" s="177"/>
      <c r="K2" s="177"/>
      <c r="L2" s="244"/>
      <c r="M2" s="244"/>
      <c r="N2" s="208"/>
    </row>
    <row r="3" spans="1:18" x14ac:dyDescent="0.25">
      <c r="A3" s="209" t="s">
        <v>111</v>
      </c>
      <c r="D3" s="242"/>
      <c r="E3" s="385" t="s">
        <v>368</v>
      </c>
      <c r="F3" s="386"/>
      <c r="G3" s="386"/>
      <c r="H3" s="386"/>
      <c r="I3" s="386"/>
      <c r="J3" s="386"/>
      <c r="K3" s="386"/>
      <c r="L3" s="386"/>
      <c r="M3" s="387"/>
      <c r="N3" s="183"/>
      <c r="O3" s="150"/>
      <c r="R3" s="210"/>
    </row>
    <row r="4" spans="1:18" x14ac:dyDescent="0.25">
      <c r="A4" s="82" t="s">
        <v>319</v>
      </c>
      <c r="B4" s="179" t="s">
        <v>9</v>
      </c>
      <c r="C4" s="397" t="s">
        <v>365</v>
      </c>
      <c r="D4" s="398"/>
      <c r="E4" s="382" t="s">
        <v>366</v>
      </c>
      <c r="F4" s="383"/>
      <c r="G4" s="383"/>
      <c r="H4" s="383"/>
      <c r="I4" s="383"/>
      <c r="J4" s="383"/>
      <c r="K4" s="383"/>
      <c r="L4" s="383"/>
      <c r="M4" s="384"/>
      <c r="N4" s="183"/>
      <c r="O4" s="150"/>
      <c r="R4" s="210"/>
    </row>
    <row r="5" spans="1:18" x14ac:dyDescent="0.25">
      <c r="A5" s="114" t="s">
        <v>335</v>
      </c>
      <c r="B5" s="284" t="s">
        <v>412</v>
      </c>
      <c r="C5" s="399" t="s">
        <v>363</v>
      </c>
      <c r="D5" s="398">
        <v>25</v>
      </c>
      <c r="E5" s="184" t="s">
        <v>282</v>
      </c>
      <c r="F5" s="353" t="s">
        <v>285</v>
      </c>
      <c r="G5" s="415">
        <v>0</v>
      </c>
      <c r="H5" s="415">
        <v>0</v>
      </c>
      <c r="I5" s="415">
        <v>0</v>
      </c>
      <c r="J5" s="415">
        <v>0</v>
      </c>
      <c r="K5" s="415">
        <v>0</v>
      </c>
      <c r="L5" s="415">
        <v>0</v>
      </c>
      <c r="M5" s="185" t="s">
        <v>276</v>
      </c>
      <c r="N5" s="183"/>
      <c r="R5" s="210"/>
    </row>
    <row r="6" spans="1:18" x14ac:dyDescent="0.25">
      <c r="A6" s="403" t="s">
        <v>338</v>
      </c>
      <c r="B6" s="397"/>
      <c r="C6" s="399" t="s">
        <v>32</v>
      </c>
      <c r="D6" s="398">
        <f>1770*9.8</f>
        <v>17346</v>
      </c>
      <c r="E6" s="184" t="s">
        <v>283</v>
      </c>
      <c r="F6" s="353"/>
      <c r="G6" s="415">
        <v>0</v>
      </c>
      <c r="H6" s="415">
        <v>0</v>
      </c>
      <c r="I6" s="415">
        <v>0</v>
      </c>
      <c r="J6" s="415">
        <v>0</v>
      </c>
      <c r="K6" s="415">
        <v>0</v>
      </c>
      <c r="L6" s="415">
        <v>0</v>
      </c>
      <c r="M6" s="185" t="s">
        <v>277</v>
      </c>
      <c r="N6" s="183"/>
      <c r="R6" s="210"/>
    </row>
    <row r="7" spans="1:18" x14ac:dyDescent="0.25">
      <c r="A7" s="399" t="s">
        <v>291</v>
      </c>
      <c r="B7" s="397"/>
      <c r="C7" s="399" t="s">
        <v>242</v>
      </c>
      <c r="D7" s="398">
        <f>647*1000</f>
        <v>647000</v>
      </c>
      <c r="E7" s="184" t="s">
        <v>284</v>
      </c>
      <c r="F7" s="353"/>
      <c r="G7" s="415">
        <v>0</v>
      </c>
      <c r="H7" s="415">
        <v>0</v>
      </c>
      <c r="I7" s="415">
        <v>0</v>
      </c>
      <c r="J7" s="415">
        <v>0</v>
      </c>
      <c r="K7" s="415">
        <v>0</v>
      </c>
      <c r="L7" s="415">
        <v>0</v>
      </c>
      <c r="M7" s="185" t="s">
        <v>278</v>
      </c>
      <c r="N7" s="183"/>
      <c r="R7" s="210"/>
    </row>
    <row r="8" spans="1:18" x14ac:dyDescent="0.25">
      <c r="A8" s="399" t="s">
        <v>287</v>
      </c>
      <c r="B8" s="397"/>
      <c r="C8" s="399" t="s">
        <v>33</v>
      </c>
      <c r="D8" s="398">
        <v>3</v>
      </c>
      <c r="E8" s="184" t="s">
        <v>273</v>
      </c>
      <c r="F8" s="353"/>
      <c r="G8" s="415">
        <v>0</v>
      </c>
      <c r="H8" s="415">
        <v>0</v>
      </c>
      <c r="I8" s="415">
        <v>0</v>
      </c>
      <c r="J8" s="415">
        <v>0</v>
      </c>
      <c r="K8" s="415">
        <v>0</v>
      </c>
      <c r="L8" s="415">
        <v>0</v>
      </c>
      <c r="M8" s="185" t="s">
        <v>279</v>
      </c>
      <c r="N8" s="183"/>
      <c r="R8" s="210"/>
    </row>
    <row r="9" spans="1:18" x14ac:dyDescent="0.25">
      <c r="A9" s="399" t="s">
        <v>292</v>
      </c>
      <c r="B9" s="397"/>
      <c r="C9" s="399" t="s">
        <v>34</v>
      </c>
      <c r="D9" s="398">
        <v>0.01</v>
      </c>
      <c r="E9" s="184" t="s">
        <v>275</v>
      </c>
      <c r="F9" s="353"/>
      <c r="G9" s="415">
        <v>0</v>
      </c>
      <c r="H9" s="415">
        <v>0</v>
      </c>
      <c r="I9" s="415">
        <v>0</v>
      </c>
      <c r="J9" s="415">
        <v>0</v>
      </c>
      <c r="K9" s="415">
        <v>0</v>
      </c>
      <c r="L9" s="415">
        <v>0</v>
      </c>
      <c r="M9" s="185" t="s">
        <v>280</v>
      </c>
      <c r="N9" s="183"/>
      <c r="R9" s="210"/>
    </row>
    <row r="10" spans="1:18" ht="16.5" thickBot="1" x14ac:dyDescent="0.3">
      <c r="A10" s="411" t="s">
        <v>339</v>
      </c>
      <c r="B10" s="397"/>
      <c r="C10" s="399" t="s">
        <v>288</v>
      </c>
      <c r="D10" s="412">
        <f>D6/(D8*D9)</f>
        <v>578200</v>
      </c>
      <c r="E10" s="186" t="s">
        <v>274</v>
      </c>
      <c r="F10" s="381"/>
      <c r="G10" s="416">
        <v>0</v>
      </c>
      <c r="H10" s="416">
        <v>0</v>
      </c>
      <c r="I10" s="416">
        <v>0</v>
      </c>
      <c r="J10" s="416">
        <v>0</v>
      </c>
      <c r="K10" s="416">
        <v>0</v>
      </c>
      <c r="L10" s="416">
        <v>0</v>
      </c>
      <c r="M10" s="189" t="s">
        <v>281</v>
      </c>
      <c r="N10" s="183"/>
      <c r="R10" s="210"/>
    </row>
    <row r="11" spans="1:18" x14ac:dyDescent="0.25">
      <c r="A11" s="404" t="s">
        <v>342</v>
      </c>
      <c r="B11" s="411"/>
      <c r="C11" s="399" t="s">
        <v>35</v>
      </c>
      <c r="D11" s="397">
        <v>25</v>
      </c>
      <c r="E11" s="164"/>
      <c r="F11" s="164"/>
      <c r="G11" s="164"/>
      <c r="H11" s="164"/>
      <c r="I11" s="164"/>
      <c r="J11" s="164"/>
      <c r="K11" s="164"/>
      <c r="L11" s="164"/>
      <c r="M11" s="164"/>
      <c r="R11" s="210"/>
    </row>
    <row r="12" spans="1:18" x14ac:dyDescent="0.25">
      <c r="A12" s="399" t="s">
        <v>233</v>
      </c>
      <c r="B12" s="397"/>
      <c r="C12" s="399" t="s">
        <v>375</v>
      </c>
      <c r="D12" s="401">
        <f>D7*D11^2/4</f>
        <v>101093750</v>
      </c>
      <c r="I12" s="82"/>
      <c r="O12" s="150"/>
      <c r="R12" s="210"/>
    </row>
    <row r="13" spans="1:18" x14ac:dyDescent="0.25">
      <c r="A13" s="399" t="s">
        <v>317</v>
      </c>
      <c r="B13" s="397"/>
      <c r="C13" s="399" t="s">
        <v>289</v>
      </c>
      <c r="D13" s="401">
        <f>D7*D11^2/12</f>
        <v>33697916.666666664</v>
      </c>
      <c r="I13" s="82"/>
      <c r="O13" s="150"/>
      <c r="R13" s="210"/>
    </row>
    <row r="14" spans="1:18" x14ac:dyDescent="0.25">
      <c r="A14" s="399" t="s">
        <v>334</v>
      </c>
      <c r="B14" s="397"/>
      <c r="C14" s="399" t="s">
        <v>290</v>
      </c>
      <c r="D14" s="401">
        <f>D13</f>
        <v>33697916.666666664</v>
      </c>
      <c r="I14" s="82"/>
      <c r="O14" s="150"/>
      <c r="R14" s="210"/>
    </row>
    <row r="15" spans="1:18" x14ac:dyDescent="0.25">
      <c r="A15" s="399" t="s">
        <v>271</v>
      </c>
      <c r="B15" s="397"/>
      <c r="C15" s="403" t="s">
        <v>364</v>
      </c>
      <c r="D15" s="397"/>
      <c r="I15" s="82"/>
      <c r="O15" s="150"/>
      <c r="R15" s="210"/>
    </row>
    <row r="16" spans="1:18" x14ac:dyDescent="0.25">
      <c r="A16" s="399" t="s">
        <v>272</v>
      </c>
      <c r="B16" s="397"/>
      <c r="C16" s="404" t="s">
        <v>267</v>
      </c>
      <c r="D16" s="413" t="s">
        <v>9</v>
      </c>
      <c r="I16" s="82"/>
      <c r="O16" s="150"/>
      <c r="R16" s="210"/>
    </row>
    <row r="17" spans="1:19" x14ac:dyDescent="0.25">
      <c r="A17" s="399" t="s">
        <v>314</v>
      </c>
      <c r="B17" s="397"/>
      <c r="C17" s="399" t="s">
        <v>269</v>
      </c>
      <c r="D17" s="397">
        <v>18</v>
      </c>
      <c r="I17" s="82"/>
      <c r="O17" s="150"/>
      <c r="R17" s="210"/>
    </row>
    <row r="18" spans="1:19" x14ac:dyDescent="0.25">
      <c r="A18" s="399" t="s">
        <v>315</v>
      </c>
      <c r="B18" s="397"/>
      <c r="C18" s="399" t="s">
        <v>233</v>
      </c>
      <c r="D18" s="397">
        <v>1500</v>
      </c>
      <c r="I18" s="82"/>
      <c r="O18" s="150"/>
      <c r="R18" s="210"/>
    </row>
    <row r="19" spans="1:19" x14ac:dyDescent="0.25">
      <c r="A19" s="399" t="s">
        <v>235</v>
      </c>
      <c r="B19" s="397"/>
      <c r="C19" s="399" t="s">
        <v>54</v>
      </c>
      <c r="D19" s="405">
        <v>200000</v>
      </c>
      <c r="I19" s="82"/>
      <c r="O19" s="150"/>
      <c r="R19" s="210"/>
    </row>
    <row r="20" spans="1:19" x14ac:dyDescent="0.25">
      <c r="A20" s="399" t="s">
        <v>333</v>
      </c>
      <c r="B20" s="397"/>
      <c r="C20" s="399" t="s">
        <v>268</v>
      </c>
      <c r="D20" s="414">
        <f>PI()*D17^2/4*D19/D18</f>
        <v>33929.200658769769</v>
      </c>
      <c r="I20" s="82"/>
      <c r="O20" s="150"/>
      <c r="R20" s="210"/>
    </row>
    <row r="21" spans="1:19" ht="16.5" thickBot="1" x14ac:dyDescent="0.3">
      <c r="A21" s="407" t="s">
        <v>313</v>
      </c>
      <c r="B21" s="408"/>
      <c r="C21" s="407" t="s">
        <v>318</v>
      </c>
      <c r="D21" s="408">
        <v>3</v>
      </c>
      <c r="E21" s="177"/>
      <c r="F21" s="177"/>
      <c r="G21" s="177"/>
      <c r="H21" s="177"/>
      <c r="I21" s="230"/>
      <c r="J21" s="177"/>
      <c r="K21" s="177"/>
      <c r="L21" s="177"/>
      <c r="M21" s="177"/>
      <c r="O21" s="150"/>
      <c r="R21" s="210"/>
    </row>
    <row r="22" spans="1:19" ht="16.5" thickBot="1" x14ac:dyDescent="0.3">
      <c r="A22" s="388" t="s">
        <v>350</v>
      </c>
      <c r="B22" s="389"/>
      <c r="C22" s="389"/>
      <c r="D22" s="389"/>
      <c r="E22" s="389"/>
      <c r="F22" s="389"/>
      <c r="G22" s="389"/>
      <c r="H22" s="389"/>
      <c r="I22" s="389"/>
      <c r="J22" s="389"/>
      <c r="K22" s="389"/>
      <c r="L22" s="389"/>
      <c r="M22" s="390"/>
      <c r="N22" s="253"/>
      <c r="O22" s="212"/>
      <c r="P22" s="212"/>
      <c r="Q22" s="212"/>
      <c r="R22" s="210"/>
    </row>
    <row r="23" spans="1:19" ht="31.5" x14ac:dyDescent="0.25">
      <c r="A23" s="276" t="s">
        <v>370</v>
      </c>
      <c r="B23" s="233"/>
      <c r="C23" s="241" t="s">
        <v>265</v>
      </c>
      <c r="D23" s="164"/>
      <c r="E23" s="164"/>
      <c r="F23" s="164"/>
      <c r="G23" s="164"/>
      <c r="H23" s="164"/>
      <c r="I23" s="164"/>
      <c r="J23" s="164"/>
      <c r="K23" s="164"/>
      <c r="L23" s="164"/>
      <c r="M23" s="164"/>
      <c r="O23" s="210"/>
      <c r="P23" s="210"/>
      <c r="Q23" s="210"/>
      <c r="R23" s="210"/>
    </row>
    <row r="24" spans="1:19" x14ac:dyDescent="0.25">
      <c r="A24" s="102" t="s">
        <v>3</v>
      </c>
      <c r="B24" s="107"/>
      <c r="C24" s="155"/>
      <c r="O24" s="210"/>
      <c r="P24" s="210"/>
      <c r="Q24" s="210"/>
      <c r="R24" s="210"/>
    </row>
    <row r="25" spans="1:19" x14ac:dyDescent="0.25">
      <c r="A25" s="218" t="s">
        <v>117</v>
      </c>
      <c r="B25" s="315">
        <f>SUM(H34:S34)+C25</f>
        <v>10000000000</v>
      </c>
      <c r="C25" s="316">
        <v>0</v>
      </c>
      <c r="G25" s="243" t="s">
        <v>184</v>
      </c>
      <c r="O25" s="210"/>
      <c r="P25" s="210"/>
      <c r="Q25" s="210"/>
      <c r="R25" s="210"/>
    </row>
    <row r="26" spans="1:19" x14ac:dyDescent="0.25">
      <c r="A26" s="218" t="s">
        <v>118</v>
      </c>
      <c r="B26" s="315">
        <f>SUM(H35:S35)+C26</f>
        <v>10000011309.733553</v>
      </c>
      <c r="C26" s="318">
        <f>D20/D21</f>
        <v>11309.733552923257</v>
      </c>
      <c r="G26" s="82" t="s">
        <v>124</v>
      </c>
      <c r="O26" s="210"/>
      <c r="P26" s="210"/>
      <c r="Q26" s="210"/>
      <c r="R26" s="210"/>
    </row>
    <row r="27" spans="1:19" x14ac:dyDescent="0.25">
      <c r="A27" s="218" t="s">
        <v>119</v>
      </c>
      <c r="B27" s="315">
        <f>SUM(H36:S36)+C27</f>
        <v>10000000000</v>
      </c>
      <c r="C27" s="316">
        <v>0</v>
      </c>
      <c r="D27" s="88"/>
      <c r="E27" s="88"/>
      <c r="F27" s="88"/>
      <c r="G27" s="213" t="s">
        <v>133</v>
      </c>
      <c r="H27" s="214">
        <v>1</v>
      </c>
      <c r="O27" s="210"/>
      <c r="P27" s="210"/>
      <c r="Q27" s="210"/>
      <c r="R27" s="210"/>
    </row>
    <row r="28" spans="1:19" x14ac:dyDescent="0.25">
      <c r="A28" s="102" t="s">
        <v>115</v>
      </c>
      <c r="B28" s="107"/>
      <c r="C28" s="317"/>
      <c r="D28" s="88"/>
      <c r="E28" s="88"/>
      <c r="F28" s="88"/>
      <c r="H28" s="365" t="s">
        <v>129</v>
      </c>
      <c r="I28" s="365"/>
      <c r="J28" s="365"/>
      <c r="K28" s="365"/>
      <c r="L28" s="365"/>
      <c r="M28" s="365"/>
      <c r="N28" s="365"/>
      <c r="O28" s="365"/>
      <c r="P28" s="365"/>
      <c r="Q28" s="365"/>
      <c r="R28" s="365"/>
      <c r="S28" s="365"/>
    </row>
    <row r="29" spans="1:19" x14ac:dyDescent="0.25">
      <c r="A29" s="218" t="s">
        <v>8</v>
      </c>
      <c r="B29" s="315">
        <f>SUM(H38:S38)+SUM(H42:S42)+C29</f>
        <v>10000000000</v>
      </c>
      <c r="C29" s="316">
        <v>0</v>
      </c>
      <c r="D29" s="88"/>
      <c r="E29" s="88"/>
      <c r="F29" s="88"/>
      <c r="G29" s="82" t="s">
        <v>114</v>
      </c>
      <c r="H29" s="87">
        <v>1</v>
      </c>
      <c r="I29" s="87">
        <f t="shared" ref="I29:S29" si="0">H29+1</f>
        <v>2</v>
      </c>
      <c r="J29" s="87">
        <f t="shared" si="0"/>
        <v>3</v>
      </c>
      <c r="K29" s="87">
        <f t="shared" si="0"/>
        <v>4</v>
      </c>
      <c r="L29" s="87">
        <f t="shared" si="0"/>
        <v>5</v>
      </c>
      <c r="M29" s="87">
        <f t="shared" si="0"/>
        <v>6</v>
      </c>
      <c r="N29" s="87">
        <f t="shared" si="0"/>
        <v>7</v>
      </c>
      <c r="O29" s="87">
        <f t="shared" si="0"/>
        <v>8</v>
      </c>
      <c r="P29" s="87">
        <f t="shared" si="0"/>
        <v>9</v>
      </c>
      <c r="Q29" s="87">
        <f t="shared" si="0"/>
        <v>10</v>
      </c>
      <c r="R29" s="87">
        <f t="shared" si="0"/>
        <v>11</v>
      </c>
      <c r="S29" s="87">
        <f t="shared" si="0"/>
        <v>12</v>
      </c>
    </row>
    <row r="30" spans="1:19" x14ac:dyDescent="0.25">
      <c r="A30" s="218" t="s">
        <v>120</v>
      </c>
      <c r="B30" s="315">
        <f>SUM(H39:S39)+SUM(H43:S43)+C30</f>
        <v>650000000000</v>
      </c>
      <c r="C30" s="316">
        <v>0</v>
      </c>
      <c r="D30" s="88"/>
      <c r="E30" s="88"/>
      <c r="F30" s="88"/>
      <c r="G30" s="102" t="s">
        <v>42</v>
      </c>
      <c r="H30" s="214">
        <v>8</v>
      </c>
      <c r="I30" s="214">
        <v>0</v>
      </c>
      <c r="J30" s="214">
        <v>0</v>
      </c>
      <c r="K30" s="214">
        <v>0</v>
      </c>
      <c r="L30" s="214">
        <v>0</v>
      </c>
      <c r="M30" s="214">
        <v>0</v>
      </c>
      <c r="N30" s="214">
        <v>0</v>
      </c>
      <c r="O30" s="214">
        <v>0</v>
      </c>
      <c r="P30" s="214">
        <v>0</v>
      </c>
      <c r="Q30" s="214">
        <v>0</v>
      </c>
      <c r="R30" s="214">
        <v>0</v>
      </c>
      <c r="S30" s="214">
        <v>0</v>
      </c>
    </row>
    <row r="31" spans="1:19" x14ac:dyDescent="0.25">
      <c r="A31" s="218" t="s">
        <v>116</v>
      </c>
      <c r="B31" s="315">
        <f>SUM(H40:S40)+SUM(H44:S44)+C31</f>
        <v>650000000000</v>
      </c>
      <c r="C31" s="316">
        <v>0</v>
      </c>
      <c r="D31" s="88"/>
      <c r="E31" s="88"/>
      <c r="F31" s="88"/>
      <c r="G31" s="102" t="s">
        <v>43</v>
      </c>
      <c r="H31" s="214">
        <v>0</v>
      </c>
      <c r="I31" s="214">
        <v>0</v>
      </c>
      <c r="J31" s="214">
        <v>0</v>
      </c>
      <c r="K31" s="214">
        <v>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44</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G33" s="82" t="s">
        <v>130</v>
      </c>
      <c r="H33" s="380"/>
      <c r="I33" s="380"/>
      <c r="J33" s="380"/>
      <c r="K33" s="380"/>
    </row>
    <row r="34" spans="1:19" x14ac:dyDescent="0.25">
      <c r="A34" s="366"/>
      <c r="B34" s="366"/>
      <c r="C34" s="366"/>
      <c r="D34" s="88"/>
      <c r="E34" s="88"/>
      <c r="F34" s="88"/>
      <c r="G34" s="102" t="s">
        <v>117</v>
      </c>
      <c r="H34" s="311">
        <v>10000000000</v>
      </c>
      <c r="I34" s="214">
        <v>0</v>
      </c>
      <c r="J34" s="214">
        <f t="shared" ref="J34:K36" si="1">I34</f>
        <v>0</v>
      </c>
      <c r="K34" s="214">
        <f t="shared" si="1"/>
        <v>0</v>
      </c>
      <c r="L34" s="214">
        <v>0</v>
      </c>
      <c r="M34" s="214">
        <v>0</v>
      </c>
      <c r="N34" s="214">
        <v>0</v>
      </c>
      <c r="O34" s="214">
        <v>0</v>
      </c>
      <c r="P34" s="214">
        <v>0</v>
      </c>
      <c r="Q34" s="214">
        <v>0</v>
      </c>
      <c r="R34" s="214">
        <v>0</v>
      </c>
      <c r="S34" s="214">
        <v>0</v>
      </c>
    </row>
    <row r="35" spans="1:19" x14ac:dyDescent="0.25">
      <c r="A35" s="221" t="s">
        <v>185</v>
      </c>
      <c r="B35" s="214"/>
      <c r="C35" s="214"/>
      <c r="D35" s="88"/>
      <c r="E35" s="88"/>
      <c r="F35" s="88"/>
      <c r="G35" s="102" t="s">
        <v>118</v>
      </c>
      <c r="H35" s="311">
        <v>10000000000</v>
      </c>
      <c r="I35" s="214">
        <v>0</v>
      </c>
      <c r="J35" s="214">
        <f t="shared" si="1"/>
        <v>0</v>
      </c>
      <c r="K35" s="214">
        <f t="shared" si="1"/>
        <v>0</v>
      </c>
      <c r="L35" s="214">
        <v>0</v>
      </c>
      <c r="M35" s="214">
        <v>0</v>
      </c>
      <c r="N35" s="214">
        <v>0</v>
      </c>
      <c r="O35" s="214">
        <v>0</v>
      </c>
      <c r="P35" s="214">
        <v>0</v>
      </c>
      <c r="Q35" s="214">
        <v>0</v>
      </c>
      <c r="R35" s="214">
        <v>0</v>
      </c>
      <c r="S35" s="214">
        <v>0</v>
      </c>
    </row>
    <row r="36" spans="1:19" x14ac:dyDescent="0.25">
      <c r="A36" s="81" t="s">
        <v>109</v>
      </c>
      <c r="D36" s="88"/>
      <c r="E36" s="88"/>
      <c r="F36" s="88"/>
      <c r="G36" s="102" t="s">
        <v>119</v>
      </c>
      <c r="H36" s="311">
        <v>10000000000</v>
      </c>
      <c r="I36" s="214">
        <v>0</v>
      </c>
      <c r="J36" s="214">
        <f t="shared" si="1"/>
        <v>0</v>
      </c>
      <c r="K36" s="214">
        <f t="shared" si="1"/>
        <v>0</v>
      </c>
      <c r="L36" s="214">
        <v>0</v>
      </c>
      <c r="M36" s="214">
        <v>0</v>
      </c>
      <c r="N36" s="214">
        <v>0</v>
      </c>
      <c r="O36" s="214">
        <v>0</v>
      </c>
      <c r="P36" s="214">
        <v>0</v>
      </c>
      <c r="Q36" s="214">
        <v>0</v>
      </c>
      <c r="R36" s="214">
        <v>0</v>
      </c>
      <c r="S36" s="214">
        <v>0</v>
      </c>
    </row>
    <row r="37" spans="1:19" x14ac:dyDescent="0.25">
      <c r="A37" s="102" t="s">
        <v>186</v>
      </c>
      <c r="B37" s="214">
        <v>0</v>
      </c>
      <c r="D37" s="88"/>
      <c r="E37" s="88"/>
      <c r="F37" s="88"/>
      <c r="G37" s="82" t="s">
        <v>131</v>
      </c>
      <c r="H37" s="380"/>
      <c r="I37" s="380"/>
      <c r="J37" s="380"/>
      <c r="K37" s="380"/>
    </row>
    <row r="38" spans="1:19" x14ac:dyDescent="0.25">
      <c r="A38" s="102" t="s">
        <v>187</v>
      </c>
      <c r="B38" s="214">
        <v>0</v>
      </c>
      <c r="D38" s="88"/>
      <c r="E38" s="88"/>
      <c r="F38" s="88"/>
      <c r="G38" s="102" t="s">
        <v>8</v>
      </c>
      <c r="H38" s="311">
        <v>10000000000</v>
      </c>
      <c r="I38" s="214">
        <v>0</v>
      </c>
      <c r="J38" s="214">
        <v>0</v>
      </c>
      <c r="K38" s="214">
        <v>0</v>
      </c>
      <c r="L38" s="214">
        <v>0</v>
      </c>
      <c r="M38" s="214">
        <v>0</v>
      </c>
      <c r="N38" s="214">
        <v>0</v>
      </c>
      <c r="O38" s="214">
        <v>0</v>
      </c>
      <c r="P38" s="214">
        <v>0</v>
      </c>
      <c r="Q38" s="214">
        <v>0</v>
      </c>
      <c r="R38" s="214">
        <v>0</v>
      </c>
      <c r="S38" s="214">
        <v>0</v>
      </c>
    </row>
    <row r="39" spans="1:19" x14ac:dyDescent="0.25">
      <c r="A39" s="102" t="s">
        <v>188</v>
      </c>
      <c r="B39" s="214">
        <v>0</v>
      </c>
      <c r="D39" s="88"/>
      <c r="E39" s="88"/>
      <c r="F39" s="88"/>
      <c r="G39" s="102" t="s">
        <v>120</v>
      </c>
      <c r="H39" s="311">
        <v>10000000000</v>
      </c>
      <c r="I39" s="214">
        <v>0</v>
      </c>
      <c r="J39" s="214">
        <v>0</v>
      </c>
      <c r="K39" s="214">
        <v>0</v>
      </c>
      <c r="L39" s="214">
        <v>0</v>
      </c>
      <c r="M39" s="214">
        <v>0</v>
      </c>
      <c r="N39" s="214">
        <v>0</v>
      </c>
      <c r="O39" s="214">
        <v>0</v>
      </c>
      <c r="P39" s="214">
        <v>0</v>
      </c>
      <c r="Q39" s="214">
        <v>0</v>
      </c>
      <c r="R39" s="214">
        <v>0</v>
      </c>
      <c r="S39" s="214">
        <v>0</v>
      </c>
    </row>
    <row r="40" spans="1:19" x14ac:dyDescent="0.25">
      <c r="A40" s="150" t="s">
        <v>110</v>
      </c>
      <c r="G40" s="102" t="s">
        <v>116</v>
      </c>
      <c r="H40" s="311">
        <v>10000000000</v>
      </c>
      <c r="I40" s="214">
        <v>0</v>
      </c>
      <c r="J40" s="214">
        <v>0</v>
      </c>
      <c r="K40" s="214">
        <v>0</v>
      </c>
      <c r="L40" s="214">
        <v>0</v>
      </c>
      <c r="M40" s="214">
        <v>0</v>
      </c>
      <c r="N40" s="214">
        <v>0</v>
      </c>
      <c r="O40" s="214">
        <v>0</v>
      </c>
      <c r="P40" s="214">
        <v>0</v>
      </c>
      <c r="Q40" s="214">
        <v>0</v>
      </c>
      <c r="R40" s="214">
        <v>0</v>
      </c>
      <c r="S40" s="214">
        <v>0</v>
      </c>
    </row>
    <row r="41" spans="1:19" x14ac:dyDescent="0.25">
      <c r="A41" s="102" t="s">
        <v>186</v>
      </c>
      <c r="B41" s="214">
        <v>0</v>
      </c>
      <c r="D41" s="217"/>
      <c r="E41" s="217"/>
      <c r="F41" s="217"/>
      <c r="G41" s="82" t="s">
        <v>125</v>
      </c>
    </row>
    <row r="42" spans="1:19" x14ac:dyDescent="0.25">
      <c r="A42" s="102" t="s">
        <v>187</v>
      </c>
      <c r="B42" s="214">
        <v>0</v>
      </c>
      <c r="D42" s="155"/>
      <c r="E42" s="155"/>
      <c r="F42" s="155"/>
      <c r="G42" s="102" t="s">
        <v>8</v>
      </c>
      <c r="H42" s="315">
        <f t="shared" ref="H42:S42" si="2">H35*H32^2+H36*H31^2</f>
        <v>0</v>
      </c>
      <c r="I42" s="315">
        <f t="shared" si="2"/>
        <v>0</v>
      </c>
      <c r="J42" s="315">
        <f t="shared" si="2"/>
        <v>0</v>
      </c>
      <c r="K42" s="315">
        <f t="shared" si="2"/>
        <v>0</v>
      </c>
      <c r="L42" s="314">
        <f t="shared" si="2"/>
        <v>0</v>
      </c>
      <c r="M42" s="314">
        <f t="shared" si="2"/>
        <v>0</v>
      </c>
      <c r="N42" s="314">
        <f t="shared" si="2"/>
        <v>0</v>
      </c>
      <c r="O42" s="314">
        <f t="shared" si="2"/>
        <v>0</v>
      </c>
      <c r="P42" s="314">
        <f t="shared" si="2"/>
        <v>0</v>
      </c>
      <c r="Q42" s="314">
        <f t="shared" si="2"/>
        <v>0</v>
      </c>
      <c r="R42" s="314">
        <f t="shared" si="2"/>
        <v>0</v>
      </c>
      <c r="S42" s="314">
        <f t="shared" si="2"/>
        <v>0</v>
      </c>
    </row>
    <row r="43" spans="1:19" x14ac:dyDescent="0.25">
      <c r="A43" s="102" t="s">
        <v>188</v>
      </c>
      <c r="B43" s="214">
        <v>0</v>
      </c>
      <c r="D43" s="316"/>
      <c r="E43" s="316"/>
      <c r="F43" s="316"/>
      <c r="G43" s="102" t="s">
        <v>120</v>
      </c>
      <c r="H43" s="315">
        <f t="shared" ref="H43:S43" si="3">H34*H32^2+H36*H30^2</f>
        <v>640000000000</v>
      </c>
      <c r="I43" s="315">
        <f t="shared" si="3"/>
        <v>0</v>
      </c>
      <c r="J43" s="315">
        <f t="shared" si="3"/>
        <v>0</v>
      </c>
      <c r="K43" s="315">
        <f t="shared" si="3"/>
        <v>0</v>
      </c>
      <c r="L43" s="314">
        <f t="shared" si="3"/>
        <v>0</v>
      </c>
      <c r="M43" s="314">
        <f t="shared" si="3"/>
        <v>0</v>
      </c>
      <c r="N43" s="314">
        <f t="shared" si="3"/>
        <v>0</v>
      </c>
      <c r="O43" s="314">
        <f t="shared" si="3"/>
        <v>0</v>
      </c>
      <c r="P43" s="314">
        <f t="shared" si="3"/>
        <v>0</v>
      </c>
      <c r="Q43" s="314">
        <f t="shared" si="3"/>
        <v>0</v>
      </c>
      <c r="R43" s="314">
        <f t="shared" si="3"/>
        <v>0</v>
      </c>
      <c r="S43" s="314">
        <f t="shared" si="3"/>
        <v>0</v>
      </c>
    </row>
    <row r="44" spans="1:19" x14ac:dyDescent="0.25">
      <c r="A44" s="282" t="s">
        <v>206</v>
      </c>
      <c r="C44" s="88"/>
      <c r="D44" s="316"/>
      <c r="E44" s="316"/>
      <c r="F44" s="316"/>
      <c r="G44" s="102" t="s">
        <v>116</v>
      </c>
      <c r="H44" s="315">
        <f t="shared" ref="H44:S44" si="4">H34*H31^2+H35*H30^2</f>
        <v>640000000000</v>
      </c>
      <c r="I44" s="315">
        <f t="shared" si="4"/>
        <v>0</v>
      </c>
      <c r="J44" s="315">
        <f t="shared" si="4"/>
        <v>0</v>
      </c>
      <c r="K44" s="315">
        <f t="shared" si="4"/>
        <v>0</v>
      </c>
      <c r="L44" s="314">
        <f t="shared" si="4"/>
        <v>0</v>
      </c>
      <c r="M44" s="314">
        <f t="shared" si="4"/>
        <v>0</v>
      </c>
      <c r="N44" s="314">
        <f t="shared" si="4"/>
        <v>0</v>
      </c>
      <c r="O44" s="314">
        <f t="shared" si="4"/>
        <v>0</v>
      </c>
      <c r="P44" s="314">
        <f t="shared" si="4"/>
        <v>0</v>
      </c>
      <c r="Q44" s="314">
        <f t="shared" si="4"/>
        <v>0</v>
      </c>
      <c r="R44" s="314">
        <f t="shared" si="4"/>
        <v>0</v>
      </c>
      <c r="S44" s="314">
        <f t="shared" si="4"/>
        <v>0</v>
      </c>
    </row>
    <row r="45" spans="1:19" x14ac:dyDescent="0.25">
      <c r="A45" s="102" t="s">
        <v>121</v>
      </c>
      <c r="B45" s="314">
        <f>SQRT((H46^2+I46^2+J46^2+K46^2+L46^2+M46^2+N46^2+O46^2+P46^2+Q46^2+R46^2+S46^2)/H$27)</f>
        <v>0</v>
      </c>
      <c r="C45" s="88"/>
      <c r="D45" s="316"/>
      <c r="E45" s="316"/>
      <c r="F45" s="316"/>
      <c r="G45" s="82" t="s">
        <v>307</v>
      </c>
    </row>
    <row r="46" spans="1:19" x14ac:dyDescent="0.25">
      <c r="A46" s="102" t="s">
        <v>122</v>
      </c>
      <c r="B46" s="314">
        <f>SQRT((H47^2+I47^2+J47^2+K47^2+L47^2+M47^2+N47^2+O47^2+P47^2+Q47^2+R47^2+S47^2)/H$27)</f>
        <v>0</v>
      </c>
      <c r="C46" s="88"/>
      <c r="D46" s="317"/>
      <c r="E46" s="317"/>
      <c r="F46" s="317"/>
      <c r="G46" s="102" t="s">
        <v>121</v>
      </c>
      <c r="H46" s="214">
        <v>0</v>
      </c>
      <c r="I46" s="214">
        <v>0</v>
      </c>
      <c r="J46" s="214">
        <v>0</v>
      </c>
      <c r="K46" s="214">
        <v>0</v>
      </c>
      <c r="L46" s="214">
        <v>0</v>
      </c>
      <c r="M46" s="214">
        <v>0</v>
      </c>
      <c r="N46" s="214">
        <v>0</v>
      </c>
      <c r="O46" s="214">
        <v>0</v>
      </c>
      <c r="P46" s="214">
        <v>0</v>
      </c>
      <c r="Q46" s="214">
        <v>0</v>
      </c>
      <c r="R46" s="214">
        <v>0</v>
      </c>
      <c r="S46" s="214">
        <v>0</v>
      </c>
    </row>
    <row r="47" spans="1:19" x14ac:dyDescent="0.25">
      <c r="A47" s="102" t="s">
        <v>123</v>
      </c>
      <c r="B47" s="314">
        <f>SQRT((H48^2+I48^2+J48^2+K48^2+L48^2+M48^2+N48^2+O48^2+P48^2+Q48^2+R48^2+S48^2)/H$27)</f>
        <v>0</v>
      </c>
      <c r="C47" s="88"/>
      <c r="D47" s="316"/>
      <c r="E47" s="316"/>
      <c r="F47" s="316"/>
      <c r="G47" s="102" t="s">
        <v>122</v>
      </c>
      <c r="H47" s="214">
        <v>0</v>
      </c>
      <c r="I47" s="214">
        <v>0</v>
      </c>
      <c r="J47" s="214">
        <v>0</v>
      </c>
      <c r="K47" s="214">
        <v>0</v>
      </c>
      <c r="L47" s="214">
        <v>0</v>
      </c>
      <c r="M47" s="214">
        <v>0</v>
      </c>
      <c r="N47" s="214">
        <v>0</v>
      </c>
      <c r="O47" s="214">
        <v>0</v>
      </c>
      <c r="P47" s="214">
        <v>0</v>
      </c>
      <c r="Q47" s="214">
        <v>0</v>
      </c>
      <c r="R47" s="214">
        <v>0</v>
      </c>
      <c r="S47" s="214">
        <v>0</v>
      </c>
    </row>
    <row r="48" spans="1:19" x14ac:dyDescent="0.25">
      <c r="A48" s="102" t="s">
        <v>85</v>
      </c>
      <c r="B48" s="314">
        <f>SQRT((H50^2+I50^2+J50^2+K50^2+L50^2+M50^2+N50^2+O50^2+P50^2+Q50^2+R50^2+S50^2+B37^2)/H$27)</f>
        <v>0</v>
      </c>
      <c r="D48" s="316"/>
      <c r="E48" s="316"/>
      <c r="F48" s="316"/>
      <c r="G48" s="102" t="s">
        <v>123</v>
      </c>
      <c r="H48" s="214">
        <v>0</v>
      </c>
      <c r="I48" s="214">
        <v>0</v>
      </c>
      <c r="J48" s="214">
        <v>0</v>
      </c>
      <c r="K48" s="214">
        <v>0</v>
      </c>
      <c r="L48" s="214">
        <v>0</v>
      </c>
      <c r="M48" s="214">
        <v>0</v>
      </c>
      <c r="N48" s="214">
        <v>0</v>
      </c>
      <c r="O48" s="214">
        <v>0</v>
      </c>
      <c r="P48" s="214">
        <v>0</v>
      </c>
      <c r="Q48" s="214">
        <v>0</v>
      </c>
      <c r="R48" s="214">
        <v>0</v>
      </c>
      <c r="S48" s="214">
        <v>0</v>
      </c>
    </row>
    <row r="49" spans="1:20" x14ac:dyDescent="0.25">
      <c r="A49" s="102" t="s">
        <v>86</v>
      </c>
      <c r="B49" s="314">
        <f>SQRT((H51^2+I51^2+J51^2+K51^2+L51^2+M51^2+N51^2+O51^2+P51^2+Q51^2+R51^2+S51^2+B38^2)/H$27)</f>
        <v>0</v>
      </c>
      <c r="D49" s="316"/>
      <c r="E49" s="316"/>
      <c r="F49" s="316"/>
      <c r="G49" s="82" t="s">
        <v>251</v>
      </c>
    </row>
    <row r="50" spans="1:20" x14ac:dyDescent="0.25">
      <c r="A50" s="102" t="s">
        <v>87</v>
      </c>
      <c r="B50" s="314">
        <f>SQRT((H52^2+I52^2+J52^2+K52^2+L52^2+M52^2+N52^2+O52^2+P52^2+Q52^2+R52^2+S52^2+B39^2)/H$27)</f>
        <v>0</v>
      </c>
      <c r="D50" s="283"/>
      <c r="E50" s="283"/>
      <c r="F50" s="283"/>
      <c r="G50" s="102" t="s">
        <v>85</v>
      </c>
      <c r="H50" s="315">
        <f t="shared" ref="H50:S50" si="5">H97</f>
        <v>0</v>
      </c>
      <c r="I50" s="315">
        <f t="shared" si="5"/>
        <v>0</v>
      </c>
      <c r="J50" s="315">
        <f t="shared" si="5"/>
        <v>0</v>
      </c>
      <c r="K50" s="315">
        <f t="shared" si="5"/>
        <v>0</v>
      </c>
      <c r="L50" s="315">
        <f t="shared" si="5"/>
        <v>0</v>
      </c>
      <c r="M50" s="315">
        <f t="shared" si="5"/>
        <v>0</v>
      </c>
      <c r="N50" s="315">
        <f t="shared" si="5"/>
        <v>0</v>
      </c>
      <c r="O50" s="315">
        <f t="shared" si="5"/>
        <v>0</v>
      </c>
      <c r="P50" s="315">
        <f t="shared" si="5"/>
        <v>0</v>
      </c>
      <c r="Q50" s="315">
        <f t="shared" si="5"/>
        <v>0</v>
      </c>
      <c r="R50" s="315">
        <f t="shared" si="5"/>
        <v>0</v>
      </c>
      <c r="S50" s="315">
        <f t="shared" si="5"/>
        <v>0</v>
      </c>
    </row>
    <row r="51" spans="1:20" ht="47.25" x14ac:dyDescent="0.25">
      <c r="A51" s="216" t="s">
        <v>207</v>
      </c>
      <c r="B51" s="107"/>
      <c r="D51" s="283"/>
      <c r="E51" s="283"/>
      <c r="F51" s="283"/>
      <c r="G51" s="102" t="s">
        <v>86</v>
      </c>
      <c r="H51" s="315">
        <f t="shared" ref="H51:S51" si="6">H101</f>
        <v>0</v>
      </c>
      <c r="I51" s="315">
        <f t="shared" si="6"/>
        <v>0</v>
      </c>
      <c r="J51" s="315">
        <f t="shared" si="6"/>
        <v>0</v>
      </c>
      <c r="K51" s="315">
        <f t="shared" si="6"/>
        <v>0</v>
      </c>
      <c r="L51" s="315">
        <f t="shared" si="6"/>
        <v>0</v>
      </c>
      <c r="M51" s="315">
        <f t="shared" si="6"/>
        <v>0</v>
      </c>
      <c r="N51" s="315">
        <f t="shared" si="6"/>
        <v>0</v>
      </c>
      <c r="O51" s="315">
        <f t="shared" si="6"/>
        <v>0</v>
      </c>
      <c r="P51" s="315">
        <f t="shared" si="6"/>
        <v>0</v>
      </c>
      <c r="Q51" s="315">
        <f t="shared" si="6"/>
        <v>0</v>
      </c>
      <c r="R51" s="315">
        <f t="shared" si="6"/>
        <v>0</v>
      </c>
      <c r="S51" s="315">
        <f t="shared" si="6"/>
        <v>0</v>
      </c>
      <c r="T51" s="287"/>
    </row>
    <row r="52" spans="1:20" x14ac:dyDescent="0.25">
      <c r="A52" s="102" t="s">
        <v>121</v>
      </c>
      <c r="B52" s="314">
        <f>SQRT((H54^2+I54^2+J54^2+K54^2+L54^2+M54^2+N54^2+O54^2+P54^2+Q54^2+R54^2+S54^2)/H$27)</f>
        <v>0</v>
      </c>
      <c r="D52" s="283"/>
      <c r="E52" s="283"/>
      <c r="F52" s="283"/>
      <c r="G52" s="102" t="s">
        <v>87</v>
      </c>
      <c r="H52" s="315">
        <f t="shared" ref="H52:S52" si="7">H105</f>
        <v>0</v>
      </c>
      <c r="I52" s="315">
        <f t="shared" si="7"/>
        <v>0</v>
      </c>
      <c r="J52" s="315">
        <f t="shared" si="7"/>
        <v>0</v>
      </c>
      <c r="K52" s="315">
        <f t="shared" si="7"/>
        <v>0</v>
      </c>
      <c r="L52" s="315">
        <f t="shared" si="7"/>
        <v>0</v>
      </c>
      <c r="M52" s="315">
        <f t="shared" si="7"/>
        <v>0</v>
      </c>
      <c r="N52" s="315">
        <f t="shared" si="7"/>
        <v>0</v>
      </c>
      <c r="O52" s="315">
        <f t="shared" si="7"/>
        <v>0</v>
      </c>
      <c r="P52" s="315">
        <f t="shared" si="7"/>
        <v>0</v>
      </c>
      <c r="Q52" s="315">
        <f t="shared" si="7"/>
        <v>0</v>
      </c>
      <c r="R52" s="315">
        <f t="shared" si="7"/>
        <v>0</v>
      </c>
      <c r="S52" s="315">
        <f t="shared" si="7"/>
        <v>0</v>
      </c>
    </row>
    <row r="53" spans="1:20" x14ac:dyDescent="0.25">
      <c r="A53" s="102" t="s">
        <v>122</v>
      </c>
      <c r="B53" s="314">
        <f>SQRT((H55^2+I55^2+J55^2+K55^2+L55^2+M55^2+N55^2+O55^2+P55^2+Q55^2+R55^2+S55^2)/H$27)</f>
        <v>0</v>
      </c>
      <c r="D53" s="214"/>
      <c r="E53" s="214"/>
      <c r="F53" s="214"/>
      <c r="G53" s="82" t="s">
        <v>330</v>
      </c>
    </row>
    <row r="54" spans="1:20" x14ac:dyDescent="0.25">
      <c r="A54" s="102" t="s">
        <v>123</v>
      </c>
      <c r="B54" s="314">
        <f>SQRT((H56^2+I56^2+J56^2+K56^2+L56^2+M56^2+N56^2+O56^2+P56^2+Q56^2+R56^2+S56^2)/H$27)</f>
        <v>0</v>
      </c>
      <c r="G54" s="102" t="s">
        <v>121</v>
      </c>
      <c r="H54" s="214">
        <v>0</v>
      </c>
      <c r="I54" s="214">
        <v>0</v>
      </c>
      <c r="J54" s="214">
        <v>0</v>
      </c>
      <c r="K54" s="214">
        <v>0</v>
      </c>
      <c r="L54" s="214">
        <v>0</v>
      </c>
      <c r="M54" s="214">
        <v>0</v>
      </c>
      <c r="N54" s="214">
        <v>0</v>
      </c>
      <c r="O54" s="214">
        <v>0</v>
      </c>
      <c r="P54" s="214">
        <v>0</v>
      </c>
      <c r="Q54" s="214">
        <v>0</v>
      </c>
      <c r="R54" s="214">
        <v>0</v>
      </c>
      <c r="S54" s="214">
        <v>0</v>
      </c>
    </row>
    <row r="55" spans="1:20" x14ac:dyDescent="0.25">
      <c r="A55" s="102" t="s">
        <v>85</v>
      </c>
      <c r="B55" s="314">
        <f>SQRT((H58^2+I58^2+J58^2+K58^2+L58^2+M58^2+N58^2+O58^2+P58^2+Q58^2+R58^2+S58^2+B41^2)/H$27)</f>
        <v>0</v>
      </c>
      <c r="G55" s="102" t="s">
        <v>122</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314">
        <f>SQRT((H59^2+I59^2+J59^2+K59^2+L59^2+M59^2+N59^2+O59^2+P59^2+Q59^2+R59^2+S59^2+B42^2)/H$27)</f>
        <v>0</v>
      </c>
      <c r="G56" s="102" t="s">
        <v>123</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314">
        <f>SQRT((H60^2+I60^2+J60^2+K60^2+L60^2+M60^2+N60^2+O60^2+P60^2+Q60^2+R60^2+S60^2+B43^2)/H$27)</f>
        <v>0</v>
      </c>
      <c r="G57" s="82" t="s">
        <v>252</v>
      </c>
    </row>
    <row r="58" spans="1:20" x14ac:dyDescent="0.25">
      <c r="G58" s="102" t="s">
        <v>85</v>
      </c>
      <c r="H58" s="313">
        <f t="shared" ref="H58:S58" si="8">H112</f>
        <v>0</v>
      </c>
      <c r="I58" s="313">
        <f t="shared" si="8"/>
        <v>0</v>
      </c>
      <c r="J58" s="313">
        <f t="shared" si="8"/>
        <v>0</v>
      </c>
      <c r="K58" s="313">
        <f t="shared" si="8"/>
        <v>0</v>
      </c>
      <c r="L58" s="313">
        <f t="shared" si="8"/>
        <v>0</v>
      </c>
      <c r="M58" s="313">
        <f t="shared" si="8"/>
        <v>0</v>
      </c>
      <c r="N58" s="313">
        <f t="shared" si="8"/>
        <v>0</v>
      </c>
      <c r="O58" s="313">
        <f t="shared" si="8"/>
        <v>0</v>
      </c>
      <c r="P58" s="313">
        <f t="shared" si="8"/>
        <v>0</v>
      </c>
      <c r="Q58" s="313">
        <f t="shared" si="8"/>
        <v>0</v>
      </c>
      <c r="R58" s="313">
        <f t="shared" si="8"/>
        <v>0</v>
      </c>
      <c r="S58" s="313">
        <f t="shared" si="8"/>
        <v>0</v>
      </c>
    </row>
    <row r="59" spans="1:20" x14ac:dyDescent="0.25">
      <c r="G59" s="102" t="s">
        <v>86</v>
      </c>
      <c r="H59" s="313">
        <f t="shared" ref="H59:S59" si="9">H117</f>
        <v>0</v>
      </c>
      <c r="I59" s="313">
        <f t="shared" si="9"/>
        <v>0</v>
      </c>
      <c r="J59" s="313">
        <f t="shared" si="9"/>
        <v>0</v>
      </c>
      <c r="K59" s="313">
        <f t="shared" si="9"/>
        <v>0</v>
      </c>
      <c r="L59" s="313">
        <f t="shared" si="9"/>
        <v>0</v>
      </c>
      <c r="M59" s="313">
        <f t="shared" si="9"/>
        <v>0</v>
      </c>
      <c r="N59" s="313">
        <f t="shared" si="9"/>
        <v>0</v>
      </c>
      <c r="O59" s="313">
        <f t="shared" si="9"/>
        <v>0</v>
      </c>
      <c r="P59" s="313">
        <f t="shared" si="9"/>
        <v>0</v>
      </c>
      <c r="Q59" s="313">
        <f t="shared" si="9"/>
        <v>0</v>
      </c>
      <c r="R59" s="313">
        <f t="shared" si="9"/>
        <v>0</v>
      </c>
      <c r="S59" s="313">
        <f t="shared" si="9"/>
        <v>0</v>
      </c>
    </row>
    <row r="60" spans="1:20" x14ac:dyDescent="0.25">
      <c r="G60" s="102" t="s">
        <v>87</v>
      </c>
      <c r="H60" s="313">
        <f t="shared" ref="H60:S60" si="10">H122</f>
        <v>0</v>
      </c>
      <c r="I60" s="313">
        <f t="shared" si="10"/>
        <v>0</v>
      </c>
      <c r="J60" s="313">
        <f t="shared" si="10"/>
        <v>0</v>
      </c>
      <c r="K60" s="313">
        <f t="shared" si="10"/>
        <v>0</v>
      </c>
      <c r="L60" s="313">
        <f t="shared" si="10"/>
        <v>0</v>
      </c>
      <c r="M60" s="313">
        <f t="shared" si="10"/>
        <v>0</v>
      </c>
      <c r="N60" s="313">
        <f t="shared" si="10"/>
        <v>0</v>
      </c>
      <c r="O60" s="313">
        <f t="shared" si="10"/>
        <v>0</v>
      </c>
      <c r="P60" s="313">
        <f t="shared" si="10"/>
        <v>0</v>
      </c>
      <c r="Q60" s="313">
        <f t="shared" si="10"/>
        <v>0</v>
      </c>
      <c r="R60" s="313">
        <f t="shared" si="10"/>
        <v>0</v>
      </c>
      <c r="S60" s="313">
        <f t="shared" si="10"/>
        <v>0</v>
      </c>
    </row>
    <row r="61" spans="1:20" x14ac:dyDescent="0.25">
      <c r="G61" s="282"/>
    </row>
    <row r="62" spans="1:20" x14ac:dyDescent="0.25">
      <c r="I62" s="284"/>
      <c r="J62" s="284"/>
      <c r="K62" s="284"/>
      <c r="L62" s="284"/>
      <c r="M62" s="284"/>
      <c r="N62" s="284"/>
    </row>
    <row r="63" spans="1:20" x14ac:dyDescent="0.25">
      <c r="G63" s="119"/>
      <c r="H63" s="353"/>
      <c r="I63" s="312"/>
      <c r="J63" s="312"/>
      <c r="K63" s="312"/>
      <c r="L63" s="312"/>
      <c r="M63" s="312"/>
      <c r="N63" s="312"/>
      <c r="O63" s="284"/>
    </row>
    <row r="64" spans="1:20" x14ac:dyDescent="0.25">
      <c r="G64" s="119"/>
      <c r="H64" s="353"/>
      <c r="I64" s="312"/>
      <c r="J64" s="312"/>
      <c r="K64" s="312"/>
      <c r="L64" s="312"/>
      <c r="M64" s="312"/>
      <c r="N64" s="312"/>
      <c r="O64" s="284"/>
    </row>
    <row r="65" spans="1:15" x14ac:dyDescent="0.25">
      <c r="G65" s="119"/>
      <c r="H65" s="353"/>
      <c r="I65" s="312"/>
      <c r="J65" s="312"/>
      <c r="K65" s="312"/>
      <c r="L65" s="312"/>
      <c r="M65" s="312"/>
      <c r="N65" s="312"/>
      <c r="O65" s="284"/>
    </row>
    <row r="66" spans="1:15" x14ac:dyDescent="0.25">
      <c r="G66" s="119"/>
      <c r="H66" s="353"/>
      <c r="I66" s="312"/>
      <c r="J66" s="312"/>
      <c r="K66" s="312"/>
      <c r="L66" s="312"/>
      <c r="M66" s="312"/>
      <c r="N66" s="312"/>
      <c r="O66" s="284"/>
    </row>
    <row r="67" spans="1:15" x14ac:dyDescent="0.25">
      <c r="G67" s="119"/>
      <c r="H67" s="353"/>
      <c r="I67" s="312"/>
      <c r="J67" s="312"/>
      <c r="K67" s="312"/>
      <c r="L67" s="312"/>
      <c r="M67" s="312"/>
      <c r="N67" s="312"/>
      <c r="O67" s="284"/>
    </row>
    <row r="68" spans="1:15" x14ac:dyDescent="0.25">
      <c r="G68" s="119"/>
      <c r="H68" s="353"/>
      <c r="I68" s="312"/>
      <c r="J68" s="312"/>
      <c r="K68" s="312"/>
      <c r="L68" s="312"/>
      <c r="M68" s="312"/>
      <c r="N68" s="312"/>
      <c r="O68" s="284"/>
    </row>
    <row r="69" spans="1:15" x14ac:dyDescent="0.25">
      <c r="G69" s="119"/>
      <c r="H69" s="281"/>
      <c r="I69" s="312"/>
      <c r="J69" s="312"/>
      <c r="K69" s="312"/>
      <c r="L69" s="312"/>
      <c r="M69" s="312"/>
      <c r="N69" s="312"/>
      <c r="O69" s="284"/>
    </row>
    <row r="70" spans="1:15" x14ac:dyDescent="0.25">
      <c r="A70" s="102"/>
      <c r="B70" s="210"/>
      <c r="G70" s="119"/>
      <c r="H70" s="281"/>
      <c r="I70" s="312"/>
      <c r="J70" s="312"/>
      <c r="K70" s="312"/>
      <c r="L70" s="312"/>
      <c r="M70" s="312"/>
      <c r="N70" s="312"/>
      <c r="O70" s="284"/>
    </row>
    <row r="71" spans="1:15" x14ac:dyDescent="0.25">
      <c r="A71" s="102"/>
      <c r="B71" s="210"/>
      <c r="G71" s="119"/>
      <c r="H71" s="281"/>
      <c r="I71" s="312"/>
      <c r="J71" s="312"/>
      <c r="K71" s="312"/>
      <c r="L71" s="312"/>
      <c r="M71" s="312"/>
      <c r="N71" s="312"/>
      <c r="O71" s="284"/>
    </row>
    <row r="72" spans="1:15" x14ac:dyDescent="0.25">
      <c r="A72" s="102"/>
      <c r="B72" s="210"/>
      <c r="G72" s="119"/>
      <c r="H72" s="281"/>
      <c r="I72" s="312"/>
      <c r="J72" s="312"/>
      <c r="K72" s="312"/>
      <c r="L72" s="312"/>
      <c r="M72" s="312"/>
      <c r="N72" s="312"/>
      <c r="O72" s="284"/>
    </row>
    <row r="73" spans="1:15" x14ac:dyDescent="0.25">
      <c r="A73" s="102"/>
      <c r="B73" s="210"/>
      <c r="G73" s="119"/>
      <c r="H73" s="281"/>
      <c r="I73" s="312"/>
      <c r="J73" s="312"/>
      <c r="K73" s="312"/>
      <c r="L73" s="312"/>
      <c r="M73" s="312"/>
      <c r="N73" s="312"/>
      <c r="O73" s="284"/>
    </row>
    <row r="74" spans="1:15" x14ac:dyDescent="0.25">
      <c r="A74" s="102"/>
      <c r="B74" s="210"/>
      <c r="G74" s="119"/>
      <c r="H74" s="281"/>
      <c r="I74" s="312"/>
      <c r="J74" s="312"/>
      <c r="K74" s="312"/>
      <c r="L74" s="312"/>
      <c r="M74" s="312"/>
      <c r="N74" s="312"/>
      <c r="O74" s="284"/>
    </row>
    <row r="75" spans="1:15" x14ac:dyDescent="0.25">
      <c r="A75" s="102"/>
      <c r="B75" s="210"/>
      <c r="G75" s="119"/>
      <c r="H75" s="281"/>
      <c r="I75" s="312"/>
      <c r="J75" s="312"/>
      <c r="K75" s="312"/>
      <c r="L75" s="312"/>
      <c r="M75" s="312"/>
      <c r="N75" s="312"/>
      <c r="O75" s="284"/>
    </row>
    <row r="76" spans="1:15" x14ac:dyDescent="0.25">
      <c r="A76" s="102"/>
      <c r="B76" s="210"/>
      <c r="G76" s="119"/>
      <c r="H76" s="281"/>
      <c r="I76" s="312"/>
      <c r="J76" s="312"/>
      <c r="K76" s="312"/>
      <c r="L76" s="312"/>
      <c r="M76" s="312"/>
      <c r="N76" s="312"/>
      <c r="O76" s="284"/>
    </row>
    <row r="77" spans="1:15" x14ac:dyDescent="0.25">
      <c r="A77" s="102"/>
      <c r="B77" s="210"/>
      <c r="G77" s="119"/>
      <c r="H77" s="281"/>
      <c r="I77" s="312"/>
      <c r="J77" s="312"/>
      <c r="K77" s="312"/>
      <c r="L77" s="312"/>
      <c r="M77" s="312"/>
      <c r="N77" s="312"/>
      <c r="O77" s="284"/>
    </row>
    <row r="78" spans="1:15" x14ac:dyDescent="0.25">
      <c r="A78" s="102"/>
      <c r="B78" s="210"/>
      <c r="G78" s="119"/>
      <c r="H78" s="281"/>
      <c r="I78" s="312"/>
      <c r="J78" s="312"/>
      <c r="K78" s="312"/>
      <c r="L78" s="312"/>
      <c r="M78" s="312"/>
      <c r="N78" s="312"/>
      <c r="O78" s="284"/>
    </row>
    <row r="79" spans="1:15" x14ac:dyDescent="0.25">
      <c r="A79" s="102"/>
      <c r="B79" s="210"/>
      <c r="G79" s="119"/>
      <c r="H79" s="281"/>
      <c r="I79" s="312"/>
      <c r="J79" s="312"/>
      <c r="K79" s="312"/>
      <c r="L79" s="312"/>
      <c r="M79" s="312"/>
      <c r="N79" s="312"/>
      <c r="O79" s="284"/>
    </row>
    <row r="80" spans="1:15" x14ac:dyDescent="0.25">
      <c r="A80" s="102"/>
      <c r="B80" s="210"/>
      <c r="G80" s="119"/>
      <c r="H80" s="281"/>
      <c r="I80" s="312"/>
      <c r="J80" s="312"/>
      <c r="K80" s="312"/>
      <c r="L80" s="312"/>
      <c r="M80" s="312"/>
      <c r="N80" s="312"/>
      <c r="O80" s="284"/>
    </row>
    <row r="81" spans="1:19" x14ac:dyDescent="0.25">
      <c r="A81" s="102"/>
      <c r="B81" s="210"/>
      <c r="G81" s="119"/>
      <c r="H81" s="281"/>
      <c r="I81" s="312"/>
      <c r="J81" s="312"/>
      <c r="K81" s="312"/>
      <c r="L81" s="312"/>
      <c r="M81" s="312"/>
      <c r="N81" s="312"/>
      <c r="O81" s="284"/>
    </row>
    <row r="82" spans="1:19" x14ac:dyDescent="0.25">
      <c r="A82" s="102"/>
      <c r="B82" s="210"/>
      <c r="G82" s="119"/>
      <c r="H82" s="281"/>
      <c r="I82" s="312"/>
      <c r="J82" s="312"/>
      <c r="K82" s="312"/>
      <c r="L82" s="312"/>
      <c r="M82" s="312"/>
      <c r="N82" s="312"/>
      <c r="O82" s="284"/>
    </row>
    <row r="83" spans="1:19" x14ac:dyDescent="0.25">
      <c r="A83" s="102"/>
      <c r="B83" s="210"/>
      <c r="G83" s="119"/>
      <c r="H83" s="281"/>
      <c r="I83" s="312"/>
      <c r="J83" s="312"/>
      <c r="K83" s="312"/>
      <c r="L83" s="312"/>
      <c r="M83" s="312"/>
      <c r="N83" s="312"/>
      <c r="O83" s="284"/>
    </row>
    <row r="84" spans="1:19" x14ac:dyDescent="0.25">
      <c r="A84" s="102"/>
      <c r="B84" s="210"/>
      <c r="G84" s="119"/>
      <c r="H84" s="281"/>
      <c r="I84" s="312"/>
      <c r="J84" s="312"/>
      <c r="K84" s="312"/>
      <c r="L84" s="312"/>
      <c r="M84" s="312"/>
      <c r="N84" s="312"/>
      <c r="O84" s="284"/>
    </row>
    <row r="85" spans="1:19" x14ac:dyDescent="0.25">
      <c r="A85" s="102"/>
      <c r="B85" s="210"/>
      <c r="G85" s="119"/>
      <c r="H85" s="281"/>
      <c r="I85" s="312"/>
      <c r="J85" s="312"/>
      <c r="K85" s="312"/>
      <c r="L85" s="312"/>
      <c r="M85" s="312"/>
      <c r="N85" s="312"/>
      <c r="O85" s="284"/>
    </row>
    <row r="86" spans="1:19" x14ac:dyDescent="0.25">
      <c r="A86" s="102"/>
      <c r="B86" s="210"/>
      <c r="G86" s="119"/>
      <c r="H86" s="281"/>
      <c r="I86" s="312"/>
      <c r="J86" s="312"/>
      <c r="K86" s="312"/>
      <c r="L86" s="312"/>
      <c r="M86" s="312"/>
      <c r="N86" s="312"/>
      <c r="O86" s="284"/>
    </row>
    <row r="87" spans="1:19" x14ac:dyDescent="0.25">
      <c r="A87" s="102"/>
      <c r="B87" s="210"/>
      <c r="G87" s="119"/>
      <c r="H87" s="281"/>
      <c r="I87" s="312"/>
      <c r="J87" s="312"/>
      <c r="K87" s="312"/>
      <c r="L87" s="312"/>
      <c r="M87" s="312"/>
      <c r="N87" s="312"/>
      <c r="O87" s="284"/>
    </row>
    <row r="88" spans="1:19" x14ac:dyDescent="0.25">
      <c r="A88" s="102"/>
      <c r="B88" s="210"/>
      <c r="G88" s="119"/>
      <c r="H88" s="281"/>
      <c r="I88" s="312"/>
      <c r="J88" s="312"/>
      <c r="K88" s="312"/>
      <c r="L88" s="312"/>
      <c r="M88" s="312"/>
      <c r="N88" s="312"/>
      <c r="O88" s="284"/>
    </row>
    <row r="89" spans="1:19" x14ac:dyDescent="0.25">
      <c r="A89" s="102"/>
      <c r="B89" s="210"/>
      <c r="G89" s="119"/>
      <c r="H89" s="281"/>
      <c r="I89" s="312"/>
      <c r="J89" s="312"/>
      <c r="K89" s="312"/>
      <c r="L89" s="312"/>
      <c r="M89" s="312"/>
      <c r="N89" s="312"/>
      <c r="O89" s="284"/>
    </row>
    <row r="90" spans="1:19" x14ac:dyDescent="0.25">
      <c r="A90" s="102"/>
      <c r="B90" s="210"/>
    </row>
    <row r="91" spans="1:19" x14ac:dyDescent="0.25">
      <c r="A91" s="102"/>
      <c r="B91" s="210"/>
    </row>
    <row r="92" spans="1:19" x14ac:dyDescent="0.25">
      <c r="A92" s="102"/>
      <c r="B92" s="210"/>
    </row>
    <row r="93" spans="1:19" x14ac:dyDescent="0.25">
      <c r="A93" s="102"/>
      <c r="B93" s="210"/>
      <c r="G93" s="224" t="s">
        <v>259</v>
      </c>
    </row>
    <row r="94" spans="1:19" x14ac:dyDescent="0.25">
      <c r="A94" s="102"/>
      <c r="B94" s="210"/>
      <c r="G94" s="212"/>
      <c r="H94" s="150" t="s">
        <v>260</v>
      </c>
    </row>
    <row r="95" spans="1:19" x14ac:dyDescent="0.25">
      <c r="A95" s="102"/>
      <c r="B95" s="210"/>
      <c r="G95" s="150" t="s">
        <v>258</v>
      </c>
      <c r="H95" s="81">
        <f t="shared" ref="H95:S95" si="11">H47/ABS(H32+0.000001)</f>
        <v>0</v>
      </c>
      <c r="I95" s="81">
        <f t="shared" si="11"/>
        <v>0</v>
      </c>
      <c r="J95" s="81">
        <f t="shared" si="11"/>
        <v>0</v>
      </c>
      <c r="K95" s="81">
        <f t="shared" si="11"/>
        <v>0</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02"/>
      <c r="B96" s="210"/>
      <c r="G96" s="150" t="s">
        <v>258</v>
      </c>
      <c r="H96" s="81">
        <f t="shared" ref="H96:S96" si="12">H48/ABS(H31+0.000001)</f>
        <v>0</v>
      </c>
      <c r="I96" s="81">
        <f t="shared" si="12"/>
        <v>0</v>
      </c>
      <c r="J96" s="81">
        <f t="shared" si="12"/>
        <v>0</v>
      </c>
      <c r="K96" s="81">
        <f t="shared" si="12"/>
        <v>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02"/>
      <c r="B97" s="210"/>
      <c r="G97" s="81" t="s">
        <v>256</v>
      </c>
      <c r="H97" s="225">
        <f t="shared" ref="H97:S97" si="13">IF(MIN(H95,H96)&gt;1,0,MIN(H95,H96))</f>
        <v>0</v>
      </c>
      <c r="I97" s="225">
        <f t="shared" si="13"/>
        <v>0</v>
      </c>
      <c r="J97" s="225">
        <f t="shared" si="13"/>
        <v>0</v>
      </c>
      <c r="K97" s="225">
        <f t="shared" si="13"/>
        <v>0</v>
      </c>
      <c r="L97" s="225">
        <f t="shared" si="13"/>
        <v>0</v>
      </c>
      <c r="M97" s="225">
        <f t="shared" si="13"/>
        <v>0</v>
      </c>
      <c r="N97" s="225">
        <f t="shared" si="13"/>
        <v>0</v>
      </c>
      <c r="O97" s="225">
        <f t="shared" si="13"/>
        <v>0</v>
      </c>
      <c r="P97" s="225">
        <f t="shared" si="13"/>
        <v>0</v>
      </c>
      <c r="Q97" s="225">
        <f t="shared" si="13"/>
        <v>0</v>
      </c>
      <c r="R97" s="225">
        <f t="shared" si="13"/>
        <v>0</v>
      </c>
      <c r="S97" s="225">
        <f t="shared" si="13"/>
        <v>0</v>
      </c>
    </row>
    <row r="98" spans="1:19" x14ac:dyDescent="0.25">
      <c r="A98" s="102"/>
      <c r="B98" s="210"/>
      <c r="H98" s="150" t="s">
        <v>261</v>
      </c>
      <c r="I98" s="150"/>
      <c r="J98" s="150"/>
      <c r="K98" s="150"/>
      <c r="L98" s="150"/>
      <c r="M98" s="150"/>
      <c r="N98" s="150"/>
      <c r="O98" s="150"/>
      <c r="P98" s="150"/>
      <c r="Q98" s="150"/>
      <c r="R98" s="150"/>
      <c r="S98" s="150"/>
    </row>
    <row r="99" spans="1:19" x14ac:dyDescent="0.25">
      <c r="A99" s="102"/>
      <c r="B99" s="210"/>
      <c r="G99" s="115" t="s">
        <v>258</v>
      </c>
      <c r="H99" s="155">
        <f t="shared" ref="H99:S99" si="14">H48/ABS(H30+0.000001)</f>
        <v>0</v>
      </c>
      <c r="I99" s="155">
        <f t="shared" si="14"/>
        <v>0</v>
      </c>
      <c r="J99" s="155">
        <f t="shared" si="14"/>
        <v>0</v>
      </c>
      <c r="K99" s="155">
        <f t="shared" si="14"/>
        <v>0</v>
      </c>
      <c r="L99" s="155">
        <f t="shared" si="14"/>
        <v>0</v>
      </c>
      <c r="M99" s="155">
        <f t="shared" si="14"/>
        <v>0</v>
      </c>
      <c r="N99" s="155">
        <f t="shared" si="14"/>
        <v>0</v>
      </c>
      <c r="O99" s="155">
        <f t="shared" si="14"/>
        <v>0</v>
      </c>
      <c r="P99" s="155">
        <f t="shared" si="14"/>
        <v>0</v>
      </c>
      <c r="Q99" s="155">
        <f t="shared" si="14"/>
        <v>0</v>
      </c>
      <c r="R99" s="155">
        <f t="shared" si="14"/>
        <v>0</v>
      </c>
      <c r="S99" s="155">
        <f t="shared" si="14"/>
        <v>0</v>
      </c>
    </row>
    <row r="100" spans="1:19" x14ac:dyDescent="0.25">
      <c r="G100" s="115" t="s">
        <v>258</v>
      </c>
      <c r="H100" s="226">
        <f t="shared" ref="H100:S100" si="15">H46/ABS(H32+0.000001)</f>
        <v>0</v>
      </c>
      <c r="I100" s="226">
        <f t="shared" si="15"/>
        <v>0</v>
      </c>
      <c r="J100" s="226">
        <f t="shared" si="15"/>
        <v>0</v>
      </c>
      <c r="K100" s="226">
        <f t="shared" si="15"/>
        <v>0</v>
      </c>
      <c r="L100" s="226">
        <f t="shared" si="15"/>
        <v>0</v>
      </c>
      <c r="M100" s="226">
        <f t="shared" si="15"/>
        <v>0</v>
      </c>
      <c r="N100" s="226">
        <f t="shared" si="15"/>
        <v>0</v>
      </c>
      <c r="O100" s="226">
        <f t="shared" si="15"/>
        <v>0</v>
      </c>
      <c r="P100" s="226">
        <f t="shared" si="15"/>
        <v>0</v>
      </c>
      <c r="Q100" s="226">
        <f t="shared" si="15"/>
        <v>0</v>
      </c>
      <c r="R100" s="226">
        <f t="shared" si="15"/>
        <v>0</v>
      </c>
      <c r="S100" s="226">
        <f t="shared" si="15"/>
        <v>0</v>
      </c>
    </row>
    <row r="101" spans="1:19" x14ac:dyDescent="0.25">
      <c r="G101" s="81" t="s">
        <v>256</v>
      </c>
      <c r="H101" s="225">
        <f t="shared" ref="H101:S101" si="16">IF(MIN(H99,H100)&gt;1,0,MIN(H99,H100))</f>
        <v>0</v>
      </c>
      <c r="I101" s="225">
        <f t="shared" si="16"/>
        <v>0</v>
      </c>
      <c r="J101" s="225">
        <f t="shared" si="16"/>
        <v>0</v>
      </c>
      <c r="K101" s="225">
        <f t="shared" si="16"/>
        <v>0</v>
      </c>
      <c r="L101" s="225">
        <f t="shared" si="16"/>
        <v>0</v>
      </c>
      <c r="M101" s="225">
        <f t="shared" si="16"/>
        <v>0</v>
      </c>
      <c r="N101" s="225">
        <f t="shared" si="16"/>
        <v>0</v>
      </c>
      <c r="O101" s="225">
        <f t="shared" si="16"/>
        <v>0</v>
      </c>
      <c r="P101" s="225">
        <f t="shared" si="16"/>
        <v>0</v>
      </c>
      <c r="Q101" s="225">
        <f t="shared" si="16"/>
        <v>0</v>
      </c>
      <c r="R101" s="225">
        <f t="shared" si="16"/>
        <v>0</v>
      </c>
      <c r="S101" s="225">
        <f t="shared" si="16"/>
        <v>0</v>
      </c>
    </row>
    <row r="102" spans="1:19" x14ac:dyDescent="0.25">
      <c r="H102" s="81" t="s">
        <v>262</v>
      </c>
    </row>
    <row r="103" spans="1:19" x14ac:dyDescent="0.25">
      <c r="G103" s="150" t="s">
        <v>258</v>
      </c>
      <c r="H103" s="81">
        <f t="shared" ref="H103:S103" si="17">H47/ABS(H30+0.000001)</f>
        <v>0</v>
      </c>
      <c r="I103" s="81">
        <f t="shared" si="17"/>
        <v>0</v>
      </c>
      <c r="J103" s="81">
        <f t="shared" si="17"/>
        <v>0</v>
      </c>
      <c r="K103" s="81">
        <f t="shared" si="17"/>
        <v>0</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G104" s="150" t="s">
        <v>258</v>
      </c>
      <c r="H104" s="81">
        <f t="shared" ref="H104:S104" si="18">H46/ABS(H31+0.000001)</f>
        <v>0</v>
      </c>
      <c r="I104" s="81">
        <f t="shared" si="18"/>
        <v>0</v>
      </c>
      <c r="J104" s="81">
        <f t="shared" si="18"/>
        <v>0</v>
      </c>
      <c r="K104" s="81">
        <f t="shared" si="18"/>
        <v>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G105" s="81" t="s">
        <v>256</v>
      </c>
      <c r="H105" s="225">
        <f t="shared" ref="H105:S105" si="19">IF(MIN(H103,H104)&gt;1,0,MIN(H103,H104))</f>
        <v>0</v>
      </c>
      <c r="I105" s="225">
        <f t="shared" si="19"/>
        <v>0</v>
      </c>
      <c r="J105" s="225">
        <f t="shared" si="19"/>
        <v>0</v>
      </c>
      <c r="K105" s="225">
        <f t="shared" si="19"/>
        <v>0</v>
      </c>
      <c r="L105" s="225">
        <f t="shared" si="19"/>
        <v>0</v>
      </c>
      <c r="M105" s="225">
        <f t="shared" si="19"/>
        <v>0</v>
      </c>
      <c r="N105" s="225">
        <f t="shared" si="19"/>
        <v>0</v>
      </c>
      <c r="O105" s="225">
        <f t="shared" si="19"/>
        <v>0</v>
      </c>
      <c r="P105" s="225">
        <f t="shared" si="19"/>
        <v>0</v>
      </c>
      <c r="Q105" s="225">
        <f t="shared" si="19"/>
        <v>0</v>
      </c>
      <c r="R105" s="225">
        <f t="shared" si="19"/>
        <v>0</v>
      </c>
      <c r="S105" s="225">
        <f t="shared" si="19"/>
        <v>0</v>
      </c>
    </row>
    <row r="107" spans="1:19" x14ac:dyDescent="0.25">
      <c r="G107" s="224" t="s">
        <v>308</v>
      </c>
      <c r="H107" s="224"/>
      <c r="I107" s="224"/>
      <c r="J107" s="224"/>
      <c r="K107" s="224"/>
      <c r="L107" s="224"/>
      <c r="M107" s="224"/>
      <c r="N107" s="224"/>
      <c r="O107" s="224"/>
      <c r="P107" s="224"/>
    </row>
    <row r="108" spans="1:19" x14ac:dyDescent="0.25">
      <c r="H108" s="102" t="s">
        <v>253</v>
      </c>
      <c r="I108" s="102"/>
      <c r="J108" s="102"/>
      <c r="K108" s="102"/>
      <c r="L108" s="102"/>
      <c r="M108" s="102"/>
      <c r="N108" s="102"/>
      <c r="O108" s="102"/>
      <c r="P108" s="102"/>
      <c r="Q108" s="102"/>
      <c r="R108" s="102"/>
      <c r="S108" s="102"/>
    </row>
    <row r="109" spans="1:19" x14ac:dyDescent="0.25">
      <c r="G109" s="150" t="s">
        <v>258</v>
      </c>
      <c r="H109" s="225">
        <f t="shared" ref="H109:S109" si="20">H55/(H32+0.000001)</f>
        <v>0</v>
      </c>
      <c r="I109" s="225">
        <f t="shared" si="20"/>
        <v>0</v>
      </c>
      <c r="J109" s="225">
        <f t="shared" si="20"/>
        <v>0</v>
      </c>
      <c r="K109" s="225">
        <f t="shared" si="20"/>
        <v>0</v>
      </c>
      <c r="L109" s="225">
        <f t="shared" si="20"/>
        <v>0</v>
      </c>
      <c r="M109" s="225">
        <f t="shared" si="20"/>
        <v>0</v>
      </c>
      <c r="N109" s="225">
        <f t="shared" si="20"/>
        <v>0</v>
      </c>
      <c r="O109" s="225">
        <f t="shared" si="20"/>
        <v>0</v>
      </c>
      <c r="P109" s="225">
        <f t="shared" si="20"/>
        <v>0</v>
      </c>
      <c r="Q109" s="225">
        <f t="shared" si="20"/>
        <v>0</v>
      </c>
      <c r="R109" s="225">
        <f t="shared" si="20"/>
        <v>0</v>
      </c>
      <c r="S109" s="225">
        <f t="shared" si="20"/>
        <v>0</v>
      </c>
    </row>
    <row r="110" spans="1:19" x14ac:dyDescent="0.25">
      <c r="G110" s="150" t="s">
        <v>258</v>
      </c>
      <c r="H110" s="227">
        <f t="shared" ref="H110:S110" si="21">H56/(H31+0.000001)</f>
        <v>0</v>
      </c>
      <c r="I110" s="227">
        <f t="shared" si="21"/>
        <v>0</v>
      </c>
      <c r="J110" s="227">
        <f t="shared" si="21"/>
        <v>0</v>
      </c>
      <c r="K110" s="227">
        <f t="shared" si="21"/>
        <v>0</v>
      </c>
      <c r="L110" s="227">
        <f t="shared" si="21"/>
        <v>0</v>
      </c>
      <c r="M110" s="227">
        <f t="shared" si="21"/>
        <v>0</v>
      </c>
      <c r="N110" s="227">
        <f t="shared" si="21"/>
        <v>0</v>
      </c>
      <c r="O110" s="227">
        <f t="shared" si="21"/>
        <v>0</v>
      </c>
      <c r="P110" s="227">
        <f t="shared" si="21"/>
        <v>0</v>
      </c>
      <c r="Q110" s="227">
        <f t="shared" si="21"/>
        <v>0</v>
      </c>
      <c r="R110" s="227">
        <f t="shared" si="21"/>
        <v>0</v>
      </c>
      <c r="S110" s="227">
        <f t="shared" si="21"/>
        <v>0</v>
      </c>
    </row>
    <row r="111" spans="1:19" x14ac:dyDescent="0.25">
      <c r="G111" s="81" t="s">
        <v>257</v>
      </c>
      <c r="H111" s="144">
        <f t="shared" ref="H111:S111" si="22">SIGN(H109+0.000000000001)*SIGN(H110+0.000000000001)</f>
        <v>1</v>
      </c>
      <c r="I111" s="144">
        <f t="shared" si="22"/>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256</v>
      </c>
      <c r="H112" s="225">
        <f t="shared" ref="H112:S112" si="23">IF(H111*MIN(ABS(H109),ABS(H110))&gt;1,0,H111*MIN(ABS(H109),ABS(H110)))</f>
        <v>0</v>
      </c>
      <c r="I112" s="225">
        <f t="shared" si="23"/>
        <v>0</v>
      </c>
      <c r="J112" s="225">
        <f t="shared" si="23"/>
        <v>0</v>
      </c>
      <c r="K112" s="225">
        <f t="shared" si="23"/>
        <v>0</v>
      </c>
      <c r="L112" s="225">
        <f t="shared" si="23"/>
        <v>0</v>
      </c>
      <c r="M112" s="225">
        <f t="shared" si="23"/>
        <v>0</v>
      </c>
      <c r="N112" s="225">
        <f t="shared" si="23"/>
        <v>0</v>
      </c>
      <c r="O112" s="225">
        <f t="shared" si="23"/>
        <v>0</v>
      </c>
      <c r="P112" s="225">
        <f t="shared" si="23"/>
        <v>0</v>
      </c>
      <c r="Q112" s="225">
        <f t="shared" si="23"/>
        <v>0</v>
      </c>
      <c r="R112" s="225">
        <f t="shared" si="23"/>
        <v>0</v>
      </c>
      <c r="S112" s="225">
        <f t="shared" si="23"/>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5">
        <f t="shared" ref="H114:S114" si="24">-H56/(H30+0.000001)</f>
        <v>0</v>
      </c>
      <c r="I114" s="155">
        <f t="shared" si="24"/>
        <v>0</v>
      </c>
      <c r="J114" s="155">
        <f t="shared" si="24"/>
        <v>0</v>
      </c>
      <c r="K114" s="155">
        <f t="shared" si="24"/>
        <v>0</v>
      </c>
      <c r="L114" s="155">
        <f t="shared" si="24"/>
        <v>0</v>
      </c>
      <c r="M114" s="155">
        <f t="shared" si="24"/>
        <v>0</v>
      </c>
      <c r="N114" s="155">
        <f t="shared" si="24"/>
        <v>0</v>
      </c>
      <c r="O114" s="155">
        <f t="shared" si="24"/>
        <v>0</v>
      </c>
      <c r="P114" s="155">
        <f t="shared" si="24"/>
        <v>0</v>
      </c>
      <c r="Q114" s="155">
        <f t="shared" si="24"/>
        <v>0</v>
      </c>
      <c r="R114" s="155">
        <f t="shared" si="24"/>
        <v>0</v>
      </c>
      <c r="S114" s="155">
        <f t="shared" si="24"/>
        <v>0</v>
      </c>
    </row>
    <row r="115" spans="7:19" x14ac:dyDescent="0.25">
      <c r="G115" s="115" t="s">
        <v>258</v>
      </c>
      <c r="H115" s="155">
        <f t="shared" ref="H115:S115" si="25">H54/(H32+0.000001)</f>
        <v>0</v>
      </c>
      <c r="I115" s="155">
        <f t="shared" si="25"/>
        <v>0</v>
      </c>
      <c r="J115" s="155">
        <f t="shared" si="25"/>
        <v>0</v>
      </c>
      <c r="K115" s="155">
        <f t="shared" si="25"/>
        <v>0</v>
      </c>
      <c r="L115" s="155">
        <f t="shared" si="25"/>
        <v>0</v>
      </c>
      <c r="M115" s="155">
        <f t="shared" si="25"/>
        <v>0</v>
      </c>
      <c r="N115" s="155">
        <f t="shared" si="25"/>
        <v>0</v>
      </c>
      <c r="O115" s="155">
        <f t="shared" si="25"/>
        <v>0</v>
      </c>
      <c r="P115" s="155">
        <f t="shared" si="25"/>
        <v>0</v>
      </c>
      <c r="Q115" s="155">
        <f t="shared" si="25"/>
        <v>0</v>
      </c>
      <c r="R115" s="155">
        <f t="shared" si="25"/>
        <v>0</v>
      </c>
      <c r="S115" s="155">
        <f t="shared" si="25"/>
        <v>0</v>
      </c>
    </row>
    <row r="116" spans="7:19" x14ac:dyDescent="0.25">
      <c r="G116" s="155" t="s">
        <v>257</v>
      </c>
      <c r="H116" s="228">
        <f t="shared" ref="H116:S116" si="26">SIGN(H114+0.000000000001)*SIGN(H115+0.000000000001)</f>
        <v>1</v>
      </c>
      <c r="I116" s="228">
        <f t="shared" si="26"/>
        <v>1</v>
      </c>
      <c r="J116" s="228">
        <f t="shared" si="26"/>
        <v>1</v>
      </c>
      <c r="K116" s="228">
        <f t="shared" si="26"/>
        <v>1</v>
      </c>
      <c r="L116" s="228">
        <f t="shared" si="26"/>
        <v>1</v>
      </c>
      <c r="M116" s="228">
        <f t="shared" si="26"/>
        <v>1</v>
      </c>
      <c r="N116" s="228">
        <f t="shared" si="26"/>
        <v>1</v>
      </c>
      <c r="O116" s="228">
        <f t="shared" si="26"/>
        <v>1</v>
      </c>
      <c r="P116" s="228">
        <f t="shared" si="26"/>
        <v>1</v>
      </c>
      <c r="Q116" s="228">
        <f t="shared" si="26"/>
        <v>1</v>
      </c>
      <c r="R116" s="228">
        <f t="shared" si="26"/>
        <v>1</v>
      </c>
      <c r="S116" s="228">
        <f t="shared" si="26"/>
        <v>1</v>
      </c>
    </row>
    <row r="117" spans="7:19" x14ac:dyDescent="0.25">
      <c r="G117" s="155" t="s">
        <v>256</v>
      </c>
      <c r="H117" s="229">
        <f t="shared" ref="H117:S117" si="27">IF(H116*MIN(ABS(H114),ABS(H115))&gt;1,0,H116*MIN(ABS(H114),ABS(H115)))</f>
        <v>0</v>
      </c>
      <c r="I117" s="229">
        <f t="shared" si="27"/>
        <v>0</v>
      </c>
      <c r="J117" s="229">
        <f t="shared" si="27"/>
        <v>0</v>
      </c>
      <c r="K117" s="229">
        <f t="shared" si="27"/>
        <v>0</v>
      </c>
      <c r="L117" s="229">
        <f t="shared" si="27"/>
        <v>0</v>
      </c>
      <c r="M117" s="229">
        <f t="shared" si="27"/>
        <v>0</v>
      </c>
      <c r="N117" s="229">
        <f t="shared" si="27"/>
        <v>0</v>
      </c>
      <c r="O117" s="229">
        <f t="shared" si="27"/>
        <v>0</v>
      </c>
      <c r="P117" s="229">
        <f t="shared" si="27"/>
        <v>0</v>
      </c>
      <c r="Q117" s="229">
        <f t="shared" si="27"/>
        <v>0</v>
      </c>
      <c r="R117" s="229">
        <f t="shared" si="27"/>
        <v>0</v>
      </c>
      <c r="S117" s="229">
        <f t="shared" si="27"/>
        <v>0</v>
      </c>
    </row>
    <row r="118" spans="7:19" x14ac:dyDescent="0.25">
      <c r="H118" s="102" t="s">
        <v>255</v>
      </c>
      <c r="I118" s="102"/>
      <c r="J118" s="102"/>
      <c r="K118" s="102"/>
      <c r="L118" s="102"/>
      <c r="M118" s="102"/>
      <c r="N118" s="102"/>
      <c r="O118" s="102"/>
      <c r="P118" s="102"/>
      <c r="Q118" s="102"/>
      <c r="R118" s="102"/>
      <c r="S118" s="102"/>
    </row>
    <row r="119" spans="7:19" x14ac:dyDescent="0.25">
      <c r="G119" s="150" t="s">
        <v>258</v>
      </c>
      <c r="H119" s="225">
        <f t="shared" ref="H119:S119" si="28">H55/(H30+0.000001)</f>
        <v>0</v>
      </c>
      <c r="I119" s="225">
        <f t="shared" si="28"/>
        <v>0</v>
      </c>
      <c r="J119" s="225">
        <f t="shared" si="28"/>
        <v>0</v>
      </c>
      <c r="K119" s="225">
        <f t="shared" si="28"/>
        <v>0</v>
      </c>
      <c r="L119" s="225">
        <f t="shared" si="28"/>
        <v>0</v>
      </c>
      <c r="M119" s="225">
        <f t="shared" si="28"/>
        <v>0</v>
      </c>
      <c r="N119" s="225">
        <f t="shared" si="28"/>
        <v>0</v>
      </c>
      <c r="O119" s="225">
        <f t="shared" si="28"/>
        <v>0</v>
      </c>
      <c r="P119" s="225">
        <f t="shared" si="28"/>
        <v>0</v>
      </c>
      <c r="Q119" s="225">
        <f t="shared" si="28"/>
        <v>0</v>
      </c>
      <c r="R119" s="225">
        <f t="shared" si="28"/>
        <v>0</v>
      </c>
      <c r="S119" s="225">
        <f t="shared" si="28"/>
        <v>0</v>
      </c>
    </row>
    <row r="120" spans="7:19" x14ac:dyDescent="0.25">
      <c r="G120" s="150" t="s">
        <v>258</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257</v>
      </c>
      <c r="H121" s="144">
        <f t="shared" ref="H121:S121" si="30">SIGN(H119+0.000000000001)*SIGN(H120+0.000000000001)</f>
        <v>1</v>
      </c>
      <c r="I121" s="144">
        <f t="shared" si="30"/>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256</v>
      </c>
      <c r="H122" s="225">
        <f t="shared" ref="H122:S122" si="31">IF(H121*MIN(ABS(H119),ABS(H120))&gt;1,0,H121*MIN(ABS(H119),ABS(H120)))</f>
        <v>0</v>
      </c>
      <c r="I122" s="225">
        <f t="shared" si="31"/>
        <v>0</v>
      </c>
      <c r="J122" s="225">
        <f t="shared" si="31"/>
        <v>0</v>
      </c>
      <c r="K122" s="225">
        <f t="shared" si="31"/>
        <v>0</v>
      </c>
      <c r="L122" s="225">
        <f t="shared" si="31"/>
        <v>0</v>
      </c>
      <c r="M122" s="225">
        <f t="shared" si="31"/>
        <v>0</v>
      </c>
      <c r="N122" s="225">
        <f t="shared" si="31"/>
        <v>0</v>
      </c>
      <c r="O122" s="225">
        <f t="shared" si="31"/>
        <v>0</v>
      </c>
      <c r="P122" s="225">
        <f t="shared" si="31"/>
        <v>0</v>
      </c>
      <c r="Q122" s="225">
        <f t="shared" si="31"/>
        <v>0</v>
      </c>
      <c r="R122" s="225">
        <f t="shared" si="31"/>
        <v>0</v>
      </c>
      <c r="S122" s="225">
        <f t="shared" si="31"/>
        <v>0</v>
      </c>
    </row>
    <row r="123" spans="7:19" x14ac:dyDescent="0.25">
      <c r="G123" s="150"/>
    </row>
    <row r="124" spans="7:19" x14ac:dyDescent="0.25">
      <c r="H124" s="144"/>
      <c r="I124" s="144"/>
      <c r="J124" s="144"/>
      <c r="K124" s="144"/>
      <c r="L124" s="144"/>
      <c r="M124" s="144"/>
      <c r="N124" s="144"/>
      <c r="O124" s="144"/>
      <c r="P124" s="144"/>
      <c r="Q124" s="144"/>
      <c r="R124" s="144"/>
      <c r="S124" s="144"/>
    </row>
    <row r="125" spans="7:19" x14ac:dyDescent="0.25">
      <c r="H125" s="225"/>
      <c r="I125" s="225"/>
      <c r="J125" s="225"/>
      <c r="K125" s="225"/>
      <c r="L125" s="225"/>
      <c r="M125" s="225"/>
      <c r="N125" s="225"/>
      <c r="O125" s="225"/>
      <c r="P125" s="225"/>
      <c r="Q125" s="225"/>
      <c r="R125" s="225"/>
      <c r="S125" s="225"/>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zoomScale="75" zoomScaleNormal="75" zoomScalePageLayoutView="75" workbookViewId="0">
      <selection activeCell="G10" sqref="G10"/>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3" width="11" style="81"/>
    <col min="14" max="14" width="12.125" style="81" bestFit="1" customWidth="1"/>
    <col min="15" max="16384" width="11" style="81"/>
  </cols>
  <sheetData>
    <row r="1" spans="1:18" x14ac:dyDescent="0.25">
      <c r="A1" s="206" t="str">
        <f>'CSs and Loads'!A144</f>
        <v>CS 5</v>
      </c>
      <c r="B1" s="206" t="str">
        <f>'CSs and Loads'!A154</f>
        <v>Workpiece</v>
      </c>
    </row>
    <row r="2" spans="1:18" ht="16.5" thickBot="1" x14ac:dyDescent="0.3">
      <c r="A2" s="82" t="s">
        <v>132</v>
      </c>
      <c r="E2" s="177"/>
      <c r="F2" s="177"/>
      <c r="G2" s="177"/>
      <c r="H2" s="177"/>
      <c r="I2" s="243"/>
      <c r="J2" s="177"/>
      <c r="K2" s="177"/>
      <c r="L2" s="244"/>
      <c r="M2" s="244"/>
      <c r="N2" s="208"/>
    </row>
    <row r="3" spans="1:18" x14ac:dyDescent="0.25">
      <c r="A3" s="209" t="s">
        <v>111</v>
      </c>
      <c r="D3" s="242"/>
      <c r="E3" s="368" t="s">
        <v>368</v>
      </c>
      <c r="F3" s="369"/>
      <c r="G3" s="369"/>
      <c r="H3" s="369"/>
      <c r="I3" s="369"/>
      <c r="J3" s="369"/>
      <c r="K3" s="369"/>
      <c r="L3" s="369"/>
      <c r="M3" s="370"/>
      <c r="N3" s="183"/>
      <c r="O3" s="210"/>
      <c r="P3" s="210"/>
      <c r="Q3" s="210"/>
      <c r="R3" s="210"/>
    </row>
    <row r="4" spans="1:18" x14ac:dyDescent="0.25">
      <c r="A4" s="82" t="s">
        <v>319</v>
      </c>
      <c r="B4" s="179" t="s">
        <v>385</v>
      </c>
      <c r="C4" s="297" t="s">
        <v>365</v>
      </c>
      <c r="D4" s="298"/>
      <c r="E4" s="247" t="s">
        <v>423</v>
      </c>
      <c r="F4" s="211"/>
      <c r="G4" s="211"/>
      <c r="H4" s="211"/>
      <c r="I4" s="211"/>
      <c r="J4" s="211"/>
      <c r="K4" s="211"/>
      <c r="L4" s="211"/>
      <c r="M4" s="248"/>
      <c r="N4" s="183"/>
      <c r="R4" s="210"/>
    </row>
    <row r="5" spans="1:18" x14ac:dyDescent="0.25">
      <c r="A5" s="114" t="s">
        <v>335</v>
      </c>
      <c r="B5" s="118" t="s">
        <v>386</v>
      </c>
      <c r="C5" s="299" t="s">
        <v>363</v>
      </c>
      <c r="D5" s="298">
        <v>25</v>
      </c>
      <c r="E5" s="184" t="s">
        <v>282</v>
      </c>
      <c r="F5" s="353" t="s">
        <v>285</v>
      </c>
      <c r="G5" s="152">
        <f>1/(B7*B16/B12)</f>
        <v>5.9683103659460753E-5</v>
      </c>
      <c r="H5" s="81">
        <v>0</v>
      </c>
      <c r="I5" s="81">
        <v>0</v>
      </c>
      <c r="J5" s="81">
        <v>0</v>
      </c>
      <c r="K5" s="81">
        <v>0</v>
      </c>
      <c r="L5" s="153">
        <v>0</v>
      </c>
      <c r="M5" s="185" t="s">
        <v>276</v>
      </c>
      <c r="N5" s="183"/>
      <c r="R5" s="210"/>
    </row>
    <row r="6" spans="1:18" x14ac:dyDescent="0.25">
      <c r="A6" s="114" t="s">
        <v>338</v>
      </c>
      <c r="B6" s="118" t="s">
        <v>384</v>
      </c>
      <c r="C6" s="299" t="s">
        <v>32</v>
      </c>
      <c r="D6" s="298">
        <f>1770*9.8</f>
        <v>17346</v>
      </c>
      <c r="E6" s="184" t="s">
        <v>283</v>
      </c>
      <c r="F6" s="353"/>
      <c r="G6" s="81">
        <v>0</v>
      </c>
      <c r="H6" s="153">
        <f>B12^3/(3*B7*B17)</f>
        <v>1.7904931097838226E-4</v>
      </c>
      <c r="I6" s="81">
        <v>0</v>
      </c>
      <c r="J6" s="81">
        <v>0</v>
      </c>
      <c r="K6" s="154">
        <v>0</v>
      </c>
      <c r="L6" s="225">
        <f>B12^2/(2*B7*B17)</f>
        <v>4.4762327744595565E-5</v>
      </c>
      <c r="M6" s="185" t="s">
        <v>277</v>
      </c>
      <c r="N6" s="183"/>
      <c r="R6" s="210"/>
    </row>
    <row r="7" spans="1:18" x14ac:dyDescent="0.25">
      <c r="A7" s="102" t="s">
        <v>291</v>
      </c>
      <c r="B7" s="198">
        <v>2000</v>
      </c>
      <c r="C7" s="299" t="s">
        <v>242</v>
      </c>
      <c r="D7" s="298">
        <f>647*1000</f>
        <v>647000</v>
      </c>
      <c r="E7" s="184" t="s">
        <v>284</v>
      </c>
      <c r="F7" s="353"/>
      <c r="G7" s="81">
        <v>0</v>
      </c>
      <c r="H7" s="81">
        <v>0</v>
      </c>
      <c r="I7" s="153">
        <f>H6</f>
        <v>1.7904931097838226E-4</v>
      </c>
      <c r="J7" s="105">
        <v>0</v>
      </c>
      <c r="K7" s="417">
        <f>B12^2/(2*B7*B17)</f>
        <v>4.4762327744595565E-5</v>
      </c>
      <c r="L7" s="81">
        <v>0</v>
      </c>
      <c r="M7" s="185" t="s">
        <v>278</v>
      </c>
      <c r="N7" s="183"/>
      <c r="R7" s="210"/>
    </row>
    <row r="8" spans="1:18" x14ac:dyDescent="0.25">
      <c r="A8" s="102" t="s">
        <v>287</v>
      </c>
      <c r="B8" s="198">
        <v>0.3</v>
      </c>
      <c r="C8" s="299" t="s">
        <v>33</v>
      </c>
      <c r="D8" s="298">
        <v>3</v>
      </c>
      <c r="E8" s="184" t="s">
        <v>273</v>
      </c>
      <c r="F8" s="353"/>
      <c r="G8" s="81">
        <v>0</v>
      </c>
      <c r="H8" s="81">
        <v>0</v>
      </c>
      <c r="I8" s="105">
        <v>0</v>
      </c>
      <c r="J8" s="153">
        <f>B12/(B9*B19)</f>
        <v>1.9397008689324746E-5</v>
      </c>
      <c r="K8" s="81">
        <v>0</v>
      </c>
      <c r="L8" s="81">
        <v>0</v>
      </c>
      <c r="M8" s="185" t="s">
        <v>279</v>
      </c>
      <c r="N8" s="183"/>
      <c r="R8" s="210"/>
    </row>
    <row r="9" spans="1:18" x14ac:dyDescent="0.25">
      <c r="A9" s="102" t="s">
        <v>292</v>
      </c>
      <c r="B9" s="98">
        <f>B7/(2*(1+B8))</f>
        <v>769.23076923076917</v>
      </c>
      <c r="C9" s="299" t="s">
        <v>34</v>
      </c>
      <c r="D9" s="298">
        <v>0.01</v>
      </c>
      <c r="E9" s="184" t="s">
        <v>275</v>
      </c>
      <c r="F9" s="353"/>
      <c r="G9" s="81">
        <v>0</v>
      </c>
      <c r="H9" s="81">
        <v>0</v>
      </c>
      <c r="I9" s="225">
        <f>B12^2/(2*B7*B17)</f>
        <v>4.4762327744595565E-5</v>
      </c>
      <c r="J9" s="81">
        <v>0</v>
      </c>
      <c r="K9" s="153">
        <f>B12/(B7*B17)</f>
        <v>1.492077591486519E-5</v>
      </c>
      <c r="L9" s="81">
        <v>0</v>
      </c>
      <c r="M9" s="185" t="s">
        <v>280</v>
      </c>
      <c r="N9" s="183"/>
      <c r="R9" s="210"/>
    </row>
    <row r="10" spans="1:18" ht="16.5" thickBot="1" x14ac:dyDescent="0.3">
      <c r="A10" s="81" t="s">
        <v>339</v>
      </c>
      <c r="B10" s="119" t="s">
        <v>387</v>
      </c>
      <c r="C10" s="299" t="s">
        <v>288</v>
      </c>
      <c r="D10" s="300">
        <f>D6/(D8*D9)</f>
        <v>578200</v>
      </c>
      <c r="E10" s="186" t="s">
        <v>274</v>
      </c>
      <c r="F10" s="381"/>
      <c r="G10" s="187">
        <f>L5</f>
        <v>0</v>
      </c>
      <c r="H10" s="418">
        <f>B12^2/(2*B7*B17)</f>
        <v>4.4762327744595565E-5</v>
      </c>
      <c r="I10" s="167">
        <v>0</v>
      </c>
      <c r="J10" s="167">
        <v>0</v>
      </c>
      <c r="K10" s="167">
        <v>0</v>
      </c>
      <c r="L10" s="188">
        <f>K9</f>
        <v>1.492077591486519E-5</v>
      </c>
      <c r="M10" s="189" t="s">
        <v>281</v>
      </c>
      <c r="N10" s="183"/>
      <c r="R10" s="210"/>
    </row>
    <row r="11" spans="1:18" x14ac:dyDescent="0.25">
      <c r="A11" s="102" t="s">
        <v>342</v>
      </c>
      <c r="B11" s="280">
        <f>Summary!K10+Summary!L10</f>
        <v>7</v>
      </c>
      <c r="C11" s="299" t="s">
        <v>35</v>
      </c>
      <c r="D11" s="297">
        <v>25</v>
      </c>
      <c r="E11" s="164"/>
      <c r="F11" s="164"/>
      <c r="G11" s="164"/>
      <c r="H11" s="164"/>
      <c r="I11" s="163"/>
      <c r="J11" s="164"/>
      <c r="K11" s="164"/>
      <c r="L11" s="164"/>
      <c r="M11" s="164"/>
      <c r="O11" s="150"/>
      <c r="R11" s="210"/>
    </row>
    <row r="12" spans="1:18" x14ac:dyDescent="0.25">
      <c r="A12" s="102" t="s">
        <v>233</v>
      </c>
      <c r="B12" s="82">
        <v>6</v>
      </c>
      <c r="C12" s="299" t="s">
        <v>375</v>
      </c>
      <c r="D12" s="301">
        <f>D7*D11^2/4</f>
        <v>101093750</v>
      </c>
      <c r="I12" s="82"/>
      <c r="O12" s="150"/>
      <c r="R12" s="210"/>
    </row>
    <row r="13" spans="1:18" x14ac:dyDescent="0.25">
      <c r="A13" s="102" t="s">
        <v>388</v>
      </c>
      <c r="B13" s="82">
        <v>8</v>
      </c>
      <c r="C13" s="299" t="s">
        <v>289</v>
      </c>
      <c r="D13" s="301">
        <f>D7*D11^2/12</f>
        <v>33697916.666666664</v>
      </c>
      <c r="I13" s="82"/>
      <c r="M13" s="81">
        <f>B7*B16/B12</f>
        <v>16755.160819145563</v>
      </c>
      <c r="N13" s="81">
        <f>1/M13</f>
        <v>5.9683103659460753E-5</v>
      </c>
      <c r="O13" s="150"/>
      <c r="R13" s="210"/>
    </row>
    <row r="14" spans="1:18" x14ac:dyDescent="0.25">
      <c r="A14" s="102" t="s">
        <v>354</v>
      </c>
      <c r="B14" s="82">
        <v>1</v>
      </c>
      <c r="C14" s="299" t="s">
        <v>290</v>
      </c>
      <c r="D14" s="302">
        <f>D13</f>
        <v>33697916.666666664</v>
      </c>
      <c r="I14" s="82"/>
      <c r="O14" s="150"/>
      <c r="R14" s="210"/>
    </row>
    <row r="15" spans="1:18" x14ac:dyDescent="0.25">
      <c r="A15" s="102" t="s">
        <v>271</v>
      </c>
      <c r="B15" s="82">
        <v>4</v>
      </c>
      <c r="C15" s="303" t="s">
        <v>364</v>
      </c>
      <c r="D15" s="297"/>
      <c r="I15" s="82"/>
      <c r="O15" s="150"/>
      <c r="R15" s="210"/>
    </row>
    <row r="16" spans="1:18" x14ac:dyDescent="0.25">
      <c r="A16" s="102" t="s">
        <v>272</v>
      </c>
      <c r="B16" s="98">
        <f>PI()/4*B13^2</f>
        <v>50.26548245743669</v>
      </c>
      <c r="C16" s="304" t="s">
        <v>267</v>
      </c>
      <c r="D16" s="297"/>
      <c r="I16" s="82"/>
      <c r="O16" s="150"/>
      <c r="R16" s="210"/>
    </row>
    <row r="17" spans="1:19" x14ac:dyDescent="0.25">
      <c r="A17" s="102" t="s">
        <v>314</v>
      </c>
      <c r="B17" s="99">
        <f>PI()/64*B13^4</f>
        <v>201.06192982974676</v>
      </c>
      <c r="C17" s="299" t="s">
        <v>269</v>
      </c>
      <c r="D17" s="297">
        <v>18</v>
      </c>
      <c r="I17" s="82"/>
      <c r="O17" s="150"/>
      <c r="R17" s="210"/>
    </row>
    <row r="18" spans="1:19" x14ac:dyDescent="0.25">
      <c r="A18" s="102" t="s">
        <v>315</v>
      </c>
      <c r="B18" s="99">
        <f>PI()/64*B13^4</f>
        <v>201.06192982974676</v>
      </c>
      <c r="C18" s="299" t="s">
        <v>233</v>
      </c>
      <c r="D18" s="297">
        <v>2500</v>
      </c>
      <c r="I18" s="82"/>
      <c r="O18" s="150"/>
      <c r="R18" s="210"/>
    </row>
    <row r="19" spans="1:19" x14ac:dyDescent="0.25">
      <c r="A19" s="102" t="s">
        <v>235</v>
      </c>
      <c r="B19" s="99">
        <f>PI()/32*B13^4</f>
        <v>402.12385965949352</v>
      </c>
      <c r="C19" s="299" t="s">
        <v>54</v>
      </c>
      <c r="D19" s="306">
        <v>200000</v>
      </c>
      <c r="I19" s="82"/>
      <c r="O19" s="150"/>
      <c r="R19" s="210"/>
    </row>
    <row r="20" spans="1:19" x14ac:dyDescent="0.25">
      <c r="A20" s="102" t="s">
        <v>333</v>
      </c>
      <c r="B20" s="98">
        <f>B18/B16</f>
        <v>4</v>
      </c>
      <c r="C20" s="299" t="s">
        <v>268</v>
      </c>
      <c r="D20" s="307">
        <f>PI()*D17^2/4*D19/D18</f>
        <v>20357.520395261861</v>
      </c>
      <c r="I20" s="82"/>
      <c r="O20" s="150"/>
      <c r="R20" s="210"/>
    </row>
    <row r="21" spans="1:19" ht="16.5" thickBot="1" x14ac:dyDescent="0.3">
      <c r="A21" s="240" t="s">
        <v>313</v>
      </c>
      <c r="B21" s="246">
        <f>48*B7*B18/B12^3</f>
        <v>89360.857702109672</v>
      </c>
      <c r="C21" s="308" t="s">
        <v>318</v>
      </c>
      <c r="D21" s="309">
        <v>3</v>
      </c>
      <c r="E21" s="177"/>
      <c r="F21" s="177"/>
      <c r="G21" s="177"/>
      <c r="H21" s="177"/>
      <c r="I21" s="230"/>
      <c r="J21" s="177"/>
      <c r="K21" s="177"/>
      <c r="L21" s="177"/>
      <c r="M21" s="177"/>
      <c r="O21" s="150"/>
      <c r="R21" s="210"/>
    </row>
    <row r="22" spans="1:19" ht="16.5" thickBot="1" x14ac:dyDescent="0.3">
      <c r="A22" s="388" t="s">
        <v>351</v>
      </c>
      <c r="B22" s="389"/>
      <c r="C22" s="389"/>
      <c r="D22" s="389"/>
      <c r="E22" s="389"/>
      <c r="F22" s="389"/>
      <c r="G22" s="389"/>
      <c r="H22" s="389"/>
      <c r="I22" s="389"/>
      <c r="J22" s="389"/>
      <c r="K22" s="389"/>
      <c r="L22" s="389"/>
      <c r="M22" s="390"/>
      <c r="N22" s="183"/>
      <c r="O22" s="150"/>
      <c r="R22" s="210"/>
    </row>
    <row r="23" spans="1:19" ht="31.5" x14ac:dyDescent="0.25">
      <c r="A23" s="276" t="s">
        <v>370</v>
      </c>
      <c r="B23" s="233"/>
      <c r="C23" s="241" t="s">
        <v>265</v>
      </c>
      <c r="D23" s="164"/>
      <c r="E23" s="164"/>
      <c r="F23" s="164"/>
      <c r="G23" s="164"/>
      <c r="H23" s="164"/>
      <c r="I23" s="164"/>
      <c r="J23" s="164"/>
      <c r="K23" s="164"/>
      <c r="L23" s="164"/>
      <c r="M23" s="164"/>
      <c r="O23" s="210"/>
      <c r="P23" s="210"/>
      <c r="Q23" s="210"/>
      <c r="R23" s="210"/>
    </row>
    <row r="24" spans="1:19" x14ac:dyDescent="0.25">
      <c r="A24" s="102" t="s">
        <v>3</v>
      </c>
      <c r="B24" s="107"/>
      <c r="C24" s="155"/>
      <c r="O24" s="210"/>
      <c r="P24" s="210"/>
      <c r="Q24" s="210"/>
      <c r="R24" s="210"/>
    </row>
    <row r="25" spans="1:19" x14ac:dyDescent="0.25">
      <c r="A25" s="218" t="s">
        <v>117</v>
      </c>
      <c r="B25" s="153">
        <f>SUM(H34:S34)+C25</f>
        <v>4000000</v>
      </c>
      <c r="C25" s="219">
        <v>0</v>
      </c>
      <c r="G25" s="243" t="s">
        <v>184</v>
      </c>
      <c r="O25" s="210"/>
      <c r="P25" s="210"/>
      <c r="Q25" s="210"/>
      <c r="R25" s="210"/>
    </row>
    <row r="26" spans="1:19" x14ac:dyDescent="0.25">
      <c r="A26" s="218" t="s">
        <v>118</v>
      </c>
      <c r="B26" s="153">
        <f>SUM(H35:S35)+C26</f>
        <v>4000000</v>
      </c>
      <c r="C26" s="219">
        <v>0</v>
      </c>
      <c r="G26" s="82" t="s">
        <v>124</v>
      </c>
      <c r="O26" s="210"/>
      <c r="P26" s="210"/>
      <c r="Q26" s="210"/>
      <c r="R26" s="210"/>
    </row>
    <row r="27" spans="1:19" x14ac:dyDescent="0.25">
      <c r="A27" s="218" t="s">
        <v>119</v>
      </c>
      <c r="B27" s="153">
        <f>SUM(H36:S36)+C27</f>
        <v>4000000</v>
      </c>
      <c r="C27" s="219">
        <v>0</v>
      </c>
      <c r="G27" s="213" t="s">
        <v>133</v>
      </c>
      <c r="H27" s="214">
        <v>1</v>
      </c>
      <c r="O27" s="210"/>
      <c r="P27" s="210"/>
      <c r="Q27" s="210"/>
      <c r="R27" s="210"/>
    </row>
    <row r="28" spans="1:19" x14ac:dyDescent="0.25">
      <c r="A28" s="102" t="s">
        <v>115</v>
      </c>
      <c r="B28" s="107"/>
      <c r="C28" s="200"/>
      <c r="H28" s="365" t="s">
        <v>129</v>
      </c>
      <c r="I28" s="365"/>
      <c r="J28" s="365"/>
      <c r="K28" s="365"/>
      <c r="L28" s="365"/>
      <c r="M28" s="365"/>
      <c r="N28" s="365"/>
      <c r="O28" s="365"/>
      <c r="P28" s="365"/>
      <c r="Q28" s="365"/>
      <c r="R28" s="365"/>
      <c r="S28" s="365"/>
    </row>
    <row r="29" spans="1:19" x14ac:dyDescent="0.25">
      <c r="A29" s="218" t="s">
        <v>8</v>
      </c>
      <c r="B29" s="153">
        <f>SUM(H38:S38)+SUM(H42:S42)+C29</f>
        <v>4000000</v>
      </c>
      <c r="C29" s="219">
        <v>0</v>
      </c>
      <c r="G29" s="82" t="s">
        <v>114</v>
      </c>
      <c r="H29" s="87">
        <v>1</v>
      </c>
      <c r="I29" s="87">
        <f>H29+1</f>
        <v>2</v>
      </c>
      <c r="J29" s="87">
        <f t="shared" ref="J29:R29" si="0">I29+1</f>
        <v>3</v>
      </c>
      <c r="K29" s="87">
        <f t="shared" si="0"/>
        <v>4</v>
      </c>
      <c r="L29" s="87">
        <f t="shared" si="0"/>
        <v>5</v>
      </c>
      <c r="M29" s="87">
        <f t="shared" si="0"/>
        <v>6</v>
      </c>
      <c r="N29" s="87">
        <f t="shared" si="0"/>
        <v>7</v>
      </c>
      <c r="O29" s="87">
        <f t="shared" si="0"/>
        <v>8</v>
      </c>
      <c r="P29" s="87">
        <f>O29+1</f>
        <v>9</v>
      </c>
      <c r="Q29" s="87">
        <f t="shared" si="0"/>
        <v>10</v>
      </c>
      <c r="R29" s="87">
        <f t="shared" si="0"/>
        <v>11</v>
      </c>
      <c r="S29" s="87">
        <f>R29+1</f>
        <v>12</v>
      </c>
    </row>
    <row r="30" spans="1:19" x14ac:dyDescent="0.25">
      <c r="A30" s="218" t="s">
        <v>120</v>
      </c>
      <c r="B30" s="153">
        <f>SUM(H39:S39)+SUM(H43:S43)+C30</f>
        <v>4000000</v>
      </c>
      <c r="C30" s="219">
        <v>0</v>
      </c>
      <c r="G30" s="102" t="s">
        <v>42</v>
      </c>
      <c r="H30" s="214">
        <v>0</v>
      </c>
      <c r="I30" s="214">
        <v>0</v>
      </c>
      <c r="J30" s="214">
        <v>0</v>
      </c>
      <c r="K30" s="214">
        <v>0</v>
      </c>
      <c r="L30" s="214">
        <v>0</v>
      </c>
      <c r="M30" s="214">
        <v>0</v>
      </c>
      <c r="N30" s="214">
        <v>0</v>
      </c>
      <c r="O30" s="214">
        <v>0</v>
      </c>
      <c r="P30" s="214">
        <v>0</v>
      </c>
      <c r="Q30" s="214">
        <v>0</v>
      </c>
      <c r="R30" s="214">
        <v>0</v>
      </c>
      <c r="S30" s="214">
        <v>0</v>
      </c>
    </row>
    <row r="31" spans="1:19" x14ac:dyDescent="0.25">
      <c r="A31" s="218" t="s">
        <v>116</v>
      </c>
      <c r="B31" s="153">
        <f>SUM(H40:S40)+SUM(H44:S44)+C31</f>
        <v>4000000</v>
      </c>
      <c r="C31" s="219">
        <v>0</v>
      </c>
      <c r="G31" s="102" t="s">
        <v>43</v>
      </c>
      <c r="H31" s="214">
        <v>0</v>
      </c>
      <c r="I31" s="214">
        <v>0</v>
      </c>
      <c r="J31" s="214">
        <v>0</v>
      </c>
      <c r="K31" s="214">
        <v>0</v>
      </c>
      <c r="L31" s="214">
        <v>0</v>
      </c>
      <c r="M31" s="214">
        <v>0</v>
      </c>
      <c r="N31" s="214">
        <v>0</v>
      </c>
      <c r="O31" s="214">
        <v>0</v>
      </c>
      <c r="P31" s="214">
        <v>0</v>
      </c>
      <c r="Q31" s="214">
        <v>0</v>
      </c>
      <c r="R31" s="214">
        <v>0</v>
      </c>
      <c r="S31" s="214">
        <v>0</v>
      </c>
    </row>
    <row r="32" spans="1:19" x14ac:dyDescent="0.25">
      <c r="A32" s="366" t="s">
        <v>189</v>
      </c>
      <c r="B32" s="366"/>
      <c r="C32" s="366"/>
      <c r="G32" s="102" t="s">
        <v>44</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G33" s="82" t="s">
        <v>130</v>
      </c>
      <c r="H33" s="367" t="s">
        <v>374</v>
      </c>
      <c r="I33" s="367"/>
      <c r="J33" s="367"/>
      <c r="K33" s="367"/>
    </row>
    <row r="34" spans="1:19" x14ac:dyDescent="0.25">
      <c r="A34" s="366"/>
      <c r="B34" s="366"/>
      <c r="C34" s="366"/>
      <c r="G34" s="102" t="s">
        <v>117</v>
      </c>
      <c r="H34" s="142">
        <v>1000000</v>
      </c>
      <c r="I34" s="142">
        <v>1000000</v>
      </c>
      <c r="J34" s="142">
        <v>1000000</v>
      </c>
      <c r="K34" s="142">
        <v>1000000</v>
      </c>
      <c r="L34" s="214">
        <v>0</v>
      </c>
      <c r="M34" s="214">
        <v>0</v>
      </c>
      <c r="N34" s="214">
        <v>0</v>
      </c>
      <c r="O34" s="214">
        <v>0</v>
      </c>
      <c r="P34" s="214">
        <v>0</v>
      </c>
      <c r="Q34" s="214">
        <v>0</v>
      </c>
      <c r="R34" s="214">
        <v>0</v>
      </c>
      <c r="S34" s="214">
        <v>0</v>
      </c>
    </row>
    <row r="35" spans="1:19" x14ac:dyDescent="0.25">
      <c r="A35" s="221" t="s">
        <v>185</v>
      </c>
      <c r="B35" s="214"/>
      <c r="C35" s="214"/>
      <c r="G35" s="102" t="s">
        <v>118</v>
      </c>
      <c r="H35" s="142">
        <v>1000000</v>
      </c>
      <c r="I35" s="142">
        <v>1000000</v>
      </c>
      <c r="J35" s="142">
        <v>1000000</v>
      </c>
      <c r="K35" s="142">
        <v>1000000</v>
      </c>
      <c r="L35" s="214">
        <v>0</v>
      </c>
      <c r="M35" s="214">
        <v>0</v>
      </c>
      <c r="N35" s="214">
        <v>0</v>
      </c>
      <c r="O35" s="214">
        <v>0</v>
      </c>
      <c r="P35" s="214">
        <v>0</v>
      </c>
      <c r="Q35" s="214">
        <v>0</v>
      </c>
      <c r="R35" s="214">
        <v>0</v>
      </c>
      <c r="S35" s="214">
        <v>0</v>
      </c>
    </row>
    <row r="36" spans="1:19" x14ac:dyDescent="0.25">
      <c r="A36" s="81" t="s">
        <v>109</v>
      </c>
      <c r="G36" s="102" t="s">
        <v>119</v>
      </c>
      <c r="H36" s="142">
        <v>1000000</v>
      </c>
      <c r="I36" s="142">
        <v>1000000</v>
      </c>
      <c r="J36" s="142">
        <v>1000000</v>
      </c>
      <c r="K36" s="142">
        <v>1000000</v>
      </c>
      <c r="L36" s="214">
        <v>0</v>
      </c>
      <c r="M36" s="214">
        <v>0</v>
      </c>
      <c r="N36" s="214">
        <v>0</v>
      </c>
      <c r="O36" s="214">
        <v>0</v>
      </c>
      <c r="P36" s="214">
        <v>0</v>
      </c>
      <c r="Q36" s="214">
        <v>0</v>
      </c>
      <c r="R36" s="214">
        <v>0</v>
      </c>
      <c r="S36" s="214">
        <v>0</v>
      </c>
    </row>
    <row r="37" spans="1:19" x14ac:dyDescent="0.25">
      <c r="A37" s="102" t="s">
        <v>186</v>
      </c>
      <c r="B37" s="214">
        <v>0</v>
      </c>
      <c r="G37" s="82" t="s">
        <v>131</v>
      </c>
      <c r="H37" s="367"/>
      <c r="I37" s="367"/>
      <c r="J37" s="367"/>
      <c r="K37" s="367"/>
    </row>
    <row r="38" spans="1:19" x14ac:dyDescent="0.25">
      <c r="A38" s="102" t="s">
        <v>187</v>
      </c>
      <c r="B38" s="214">
        <v>0</v>
      </c>
      <c r="G38" s="102" t="s">
        <v>8</v>
      </c>
      <c r="H38" s="142">
        <v>1000000</v>
      </c>
      <c r="I38" s="142">
        <v>1000000</v>
      </c>
      <c r="J38" s="142">
        <v>1000000</v>
      </c>
      <c r="K38" s="142">
        <v>1000000</v>
      </c>
      <c r="L38" s="214">
        <v>0</v>
      </c>
      <c r="M38" s="214">
        <v>0</v>
      </c>
      <c r="N38" s="214">
        <v>0</v>
      </c>
      <c r="O38" s="214">
        <v>0</v>
      </c>
      <c r="P38" s="214">
        <v>0</v>
      </c>
      <c r="Q38" s="214">
        <v>0</v>
      </c>
      <c r="R38" s="214">
        <v>0</v>
      </c>
      <c r="S38" s="214">
        <v>0</v>
      </c>
    </row>
    <row r="39" spans="1:19" x14ac:dyDescent="0.25">
      <c r="A39" s="102" t="s">
        <v>188</v>
      </c>
      <c r="B39" s="214">
        <v>0</v>
      </c>
      <c r="G39" s="102" t="s">
        <v>120</v>
      </c>
      <c r="H39" s="142">
        <v>1000000</v>
      </c>
      <c r="I39" s="142">
        <v>1000000</v>
      </c>
      <c r="J39" s="142">
        <v>1000000</v>
      </c>
      <c r="K39" s="142">
        <v>1000000</v>
      </c>
      <c r="L39" s="214">
        <v>0</v>
      </c>
      <c r="M39" s="214">
        <v>0</v>
      </c>
      <c r="N39" s="214">
        <v>0</v>
      </c>
      <c r="O39" s="214">
        <v>0</v>
      </c>
      <c r="P39" s="214">
        <v>0</v>
      </c>
      <c r="Q39" s="214">
        <v>0</v>
      </c>
      <c r="R39" s="214">
        <v>0</v>
      </c>
      <c r="S39" s="214">
        <v>0</v>
      </c>
    </row>
    <row r="40" spans="1:19" x14ac:dyDescent="0.25">
      <c r="A40" s="150" t="s">
        <v>110</v>
      </c>
      <c r="G40" s="102" t="s">
        <v>116</v>
      </c>
      <c r="H40" s="142">
        <v>1000000</v>
      </c>
      <c r="I40" s="142">
        <v>1000000</v>
      </c>
      <c r="J40" s="142">
        <v>1000000</v>
      </c>
      <c r="K40" s="142">
        <v>1000000</v>
      </c>
      <c r="L40" s="214">
        <v>0</v>
      </c>
      <c r="M40" s="214">
        <v>0</v>
      </c>
      <c r="N40" s="214">
        <v>0</v>
      </c>
      <c r="O40" s="214">
        <v>0</v>
      </c>
      <c r="P40" s="214">
        <v>0</v>
      </c>
      <c r="Q40" s="214">
        <v>0</v>
      </c>
      <c r="R40" s="214">
        <v>0</v>
      </c>
      <c r="S40" s="214">
        <v>0</v>
      </c>
    </row>
    <row r="41" spans="1:19" x14ac:dyDescent="0.25">
      <c r="A41" s="102" t="s">
        <v>186</v>
      </c>
      <c r="B41" s="214">
        <v>0</v>
      </c>
      <c r="G41" s="82" t="s">
        <v>125</v>
      </c>
    </row>
    <row r="42" spans="1:19" x14ac:dyDescent="0.25">
      <c r="A42" s="102" t="s">
        <v>187</v>
      </c>
      <c r="B42" s="214">
        <v>0</v>
      </c>
      <c r="D42" s="88"/>
      <c r="E42" s="88"/>
      <c r="F42" s="88"/>
      <c r="G42" s="102" t="s">
        <v>8</v>
      </c>
      <c r="H42" s="153">
        <f>H35*H32^2+H36*H31^2</f>
        <v>0</v>
      </c>
      <c r="I42" s="153">
        <f t="shared" ref="I42:S42" si="1">I35*I32^2+I36*I31^2</f>
        <v>0</v>
      </c>
      <c r="J42" s="153">
        <f t="shared" si="1"/>
        <v>0</v>
      </c>
      <c r="K42" s="153">
        <f t="shared" si="1"/>
        <v>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188</v>
      </c>
      <c r="B43" s="214">
        <v>0</v>
      </c>
      <c r="D43" s="88"/>
      <c r="E43" s="88"/>
      <c r="F43" s="88"/>
      <c r="G43" s="102" t="s">
        <v>120</v>
      </c>
      <c r="H43" s="153">
        <f>H34*H32^2+H36*H30^2</f>
        <v>0</v>
      </c>
      <c r="I43" s="153">
        <f t="shared" ref="I43:S43" si="2">I34*I32^2+I36*I30^2</f>
        <v>0</v>
      </c>
      <c r="J43" s="153">
        <f t="shared" si="2"/>
        <v>0</v>
      </c>
      <c r="K43" s="153">
        <f t="shared" si="2"/>
        <v>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5" t="s">
        <v>206</v>
      </c>
      <c r="C44" s="88"/>
      <c r="D44" s="88"/>
      <c r="E44" s="88"/>
      <c r="F44" s="88"/>
      <c r="G44" s="102" t="s">
        <v>116</v>
      </c>
      <c r="H44" s="153">
        <f>H34*H31^2+H35*H30^2</f>
        <v>0</v>
      </c>
      <c r="I44" s="153">
        <f t="shared" ref="I44:S44" si="3">I34*I31^2+I35*I30^2</f>
        <v>0</v>
      </c>
      <c r="J44" s="153">
        <f t="shared" si="3"/>
        <v>0</v>
      </c>
      <c r="K44" s="153">
        <f t="shared" si="3"/>
        <v>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0</v>
      </c>
      <c r="C45" s="88"/>
      <c r="D45" s="88"/>
      <c r="E45" s="88"/>
      <c r="F45" s="88"/>
      <c r="G45" s="82" t="s">
        <v>307</v>
      </c>
    </row>
    <row r="46" spans="1:19" x14ac:dyDescent="0.25">
      <c r="A46" s="102" t="s">
        <v>122</v>
      </c>
      <c r="B46" s="105">
        <f>SQRT((H47^2+I47^2+J47^2+K47^2+L47^2+M47^2+N47^2+O47^2+P47^2+Q47^2+R47^2+S47^2)/H$27)</f>
        <v>0</v>
      </c>
      <c r="C46" s="88"/>
      <c r="D46" s="88"/>
      <c r="E46" s="88"/>
      <c r="F46" s="88"/>
      <c r="G46" s="102" t="s">
        <v>121</v>
      </c>
      <c r="H46" s="214">
        <v>0</v>
      </c>
      <c r="I46" s="214">
        <v>0</v>
      </c>
      <c r="J46" s="214">
        <v>0</v>
      </c>
      <c r="K46" s="214">
        <v>0</v>
      </c>
      <c r="L46" s="214">
        <v>0</v>
      </c>
      <c r="M46" s="214">
        <v>0</v>
      </c>
      <c r="N46" s="214">
        <v>0</v>
      </c>
      <c r="O46" s="214">
        <v>0</v>
      </c>
      <c r="P46" s="214">
        <v>0</v>
      </c>
      <c r="Q46" s="214">
        <v>0</v>
      </c>
      <c r="R46" s="214">
        <v>0</v>
      </c>
      <c r="S46" s="214">
        <v>0</v>
      </c>
    </row>
    <row r="47" spans="1:19" x14ac:dyDescent="0.25">
      <c r="A47" s="102" t="s">
        <v>123</v>
      </c>
      <c r="B47" s="105">
        <f>SQRT((H48^2+I48^2+J48^2+K48^2+L48^2+M48^2+N48^2+O48^2+P48^2+Q48^2+R48^2+S48^2)/H$27)</f>
        <v>0</v>
      </c>
      <c r="C47" s="88"/>
      <c r="D47" s="88"/>
      <c r="E47" s="88"/>
      <c r="F47" s="88"/>
      <c r="G47" s="102" t="s">
        <v>122</v>
      </c>
      <c r="H47" s="214">
        <v>0</v>
      </c>
      <c r="I47" s="214">
        <v>0</v>
      </c>
      <c r="J47" s="214">
        <v>0</v>
      </c>
      <c r="K47" s="214">
        <v>0</v>
      </c>
      <c r="L47" s="214">
        <v>0</v>
      </c>
      <c r="M47" s="214">
        <v>0</v>
      </c>
      <c r="N47" s="214">
        <v>0</v>
      </c>
      <c r="O47" s="214">
        <v>0</v>
      </c>
      <c r="P47" s="214">
        <v>0</v>
      </c>
      <c r="Q47" s="214">
        <v>0</v>
      </c>
      <c r="R47" s="214">
        <v>0</v>
      </c>
      <c r="S47" s="214">
        <v>0</v>
      </c>
    </row>
    <row r="48" spans="1:19" x14ac:dyDescent="0.25">
      <c r="A48" s="102" t="s">
        <v>85</v>
      </c>
      <c r="B48" s="105">
        <f>SQRT((H50^2+I50^2+J50^2+K50^2+L50^2+M50^2+N50^2+O50^2+P50^2+Q50^2+R50^2+S50^2+B37^2)/H$27)</f>
        <v>0</v>
      </c>
      <c r="G48" s="102" t="s">
        <v>123</v>
      </c>
      <c r="H48" s="214">
        <v>0</v>
      </c>
      <c r="I48" s="214">
        <v>0</v>
      </c>
      <c r="J48" s="214">
        <v>0</v>
      </c>
      <c r="K48" s="214">
        <v>0</v>
      </c>
      <c r="L48" s="214">
        <v>0</v>
      </c>
      <c r="M48" s="214">
        <v>0</v>
      </c>
      <c r="N48" s="214">
        <v>0</v>
      </c>
      <c r="O48" s="214">
        <v>0</v>
      </c>
      <c r="P48" s="214">
        <v>0</v>
      </c>
      <c r="Q48" s="214">
        <v>0</v>
      </c>
      <c r="R48" s="214">
        <v>0</v>
      </c>
      <c r="S48" s="214">
        <v>0</v>
      </c>
    </row>
    <row r="49" spans="1:20" x14ac:dyDescent="0.25">
      <c r="A49" s="102" t="s">
        <v>86</v>
      </c>
      <c r="B49" s="105">
        <f>SQRT((H51^2+I51^2+J51^2+K51^2+L51^2+M51^2+N51^2+O51^2+P51^2+Q51^2+R51^2+S51^2+B38^2)/H$27)</f>
        <v>0</v>
      </c>
      <c r="C49" s="88"/>
      <c r="D49" s="88"/>
      <c r="E49" s="88"/>
      <c r="F49" s="88"/>
      <c r="G49" s="82" t="s">
        <v>251</v>
      </c>
    </row>
    <row r="50" spans="1:20" x14ac:dyDescent="0.25">
      <c r="A50" s="102" t="s">
        <v>87</v>
      </c>
      <c r="B50" s="105">
        <f>SQRT((H52^2+I52^2+J52^2+K52^2+L52^2+M52^2+N52^2+O52^2+P52^2+Q52^2+R52^2+S52^2+B39^2)/H$27)</f>
        <v>0</v>
      </c>
      <c r="C50" s="88"/>
      <c r="D50" s="88"/>
      <c r="E50" s="88"/>
      <c r="F50" s="88"/>
      <c r="G50" s="102" t="s">
        <v>85</v>
      </c>
      <c r="H50" s="153">
        <f>H97</f>
        <v>0</v>
      </c>
      <c r="I50" s="153">
        <f t="shared" ref="I50:S50" si="4">I97</f>
        <v>0</v>
      </c>
      <c r="J50" s="153">
        <f t="shared" si="4"/>
        <v>0</v>
      </c>
      <c r="K50" s="153">
        <f t="shared" si="4"/>
        <v>0</v>
      </c>
      <c r="L50" s="153">
        <f t="shared" si="4"/>
        <v>0</v>
      </c>
      <c r="M50" s="153">
        <f t="shared" si="4"/>
        <v>0</v>
      </c>
      <c r="N50" s="153">
        <f t="shared" si="4"/>
        <v>0</v>
      </c>
      <c r="O50" s="153">
        <f t="shared" si="4"/>
        <v>0</v>
      </c>
      <c r="P50" s="153">
        <f t="shared" si="4"/>
        <v>0</v>
      </c>
      <c r="Q50" s="153">
        <f t="shared" si="4"/>
        <v>0</v>
      </c>
      <c r="R50" s="153">
        <f t="shared" si="4"/>
        <v>0</v>
      </c>
      <c r="S50" s="153">
        <f t="shared" si="4"/>
        <v>0</v>
      </c>
    </row>
    <row r="51" spans="1:20" ht="47.25" x14ac:dyDescent="0.25">
      <c r="A51" s="216" t="s">
        <v>207</v>
      </c>
      <c r="B51" s="107"/>
      <c r="C51" s="88"/>
      <c r="D51" s="88"/>
      <c r="E51" s="88"/>
      <c r="F51" s="88"/>
      <c r="G51" s="102" t="s">
        <v>86</v>
      </c>
      <c r="H51" s="153">
        <f>H101</f>
        <v>0</v>
      </c>
      <c r="I51" s="153">
        <f t="shared" ref="I51:S51" si="5">I101</f>
        <v>0</v>
      </c>
      <c r="J51" s="153">
        <f t="shared" si="5"/>
        <v>0</v>
      </c>
      <c r="K51" s="153">
        <f t="shared" si="5"/>
        <v>0</v>
      </c>
      <c r="L51" s="153">
        <f t="shared" si="5"/>
        <v>0</v>
      </c>
      <c r="M51" s="153">
        <f t="shared" si="5"/>
        <v>0</v>
      </c>
      <c r="N51" s="153">
        <f t="shared" si="5"/>
        <v>0</v>
      </c>
      <c r="O51" s="153">
        <f t="shared" si="5"/>
        <v>0</v>
      </c>
      <c r="P51" s="153">
        <f t="shared" si="5"/>
        <v>0</v>
      </c>
      <c r="Q51" s="153">
        <f t="shared" si="5"/>
        <v>0</v>
      </c>
      <c r="R51" s="153">
        <f t="shared" si="5"/>
        <v>0</v>
      </c>
      <c r="S51" s="153">
        <f t="shared" si="5"/>
        <v>0</v>
      </c>
      <c r="T51" s="83"/>
    </row>
    <row r="52" spans="1:20" x14ac:dyDescent="0.25">
      <c r="A52" s="102" t="s">
        <v>121</v>
      </c>
      <c r="B52" s="105">
        <f>SQRT((H54^2+I54^2+J54^2+K54^2+L54^2+M54^2+N54^2+O54^2+P54^2+Q54^2+R54^2+S54^2)/H$27)</f>
        <v>0</v>
      </c>
      <c r="C52" s="88"/>
      <c r="D52" s="88"/>
      <c r="E52" s="88"/>
      <c r="F52" s="88"/>
      <c r="G52" s="102" t="s">
        <v>87</v>
      </c>
      <c r="H52" s="153">
        <f>H105</f>
        <v>0</v>
      </c>
      <c r="I52" s="153">
        <f t="shared" ref="I52:S52" si="6">I105</f>
        <v>0</v>
      </c>
      <c r="J52" s="153">
        <f t="shared" si="6"/>
        <v>0</v>
      </c>
      <c r="K52" s="153">
        <f t="shared" si="6"/>
        <v>0</v>
      </c>
      <c r="L52" s="153">
        <f t="shared" si="6"/>
        <v>0</v>
      </c>
      <c r="M52" s="153">
        <f t="shared" si="6"/>
        <v>0</v>
      </c>
      <c r="N52" s="153">
        <f t="shared" si="6"/>
        <v>0</v>
      </c>
      <c r="O52" s="153">
        <f t="shared" si="6"/>
        <v>0</v>
      </c>
      <c r="P52" s="153">
        <f t="shared" si="6"/>
        <v>0</v>
      </c>
      <c r="Q52" s="153">
        <f t="shared" si="6"/>
        <v>0</v>
      </c>
      <c r="R52" s="153">
        <f t="shared" si="6"/>
        <v>0</v>
      </c>
      <c r="S52" s="153">
        <f t="shared" si="6"/>
        <v>0</v>
      </c>
    </row>
    <row r="53" spans="1:20" x14ac:dyDescent="0.25">
      <c r="A53" s="102" t="s">
        <v>122</v>
      </c>
      <c r="B53" s="105">
        <f>SQRT((H55^2+I55^2+J55^2+K55^2+L55^2+M55^2+N55^2+O55^2+P55^2+Q55^2+R55^2+S55^2)/H$27)</f>
        <v>0</v>
      </c>
      <c r="C53" s="88"/>
      <c r="D53" s="88"/>
      <c r="E53" s="88"/>
      <c r="F53" s="88"/>
      <c r="G53" s="82" t="s">
        <v>330</v>
      </c>
    </row>
    <row r="54" spans="1:20" x14ac:dyDescent="0.25">
      <c r="A54" s="102" t="s">
        <v>123</v>
      </c>
      <c r="B54" s="105">
        <f>SQRT((H56^2+I56^2+J56^2+K56^2+L56^2+M56^2+N56^2+O56^2+P56^2+Q56^2+R56^2+S56^2)/H$27)</f>
        <v>0</v>
      </c>
      <c r="C54" s="88"/>
      <c r="D54" s="88"/>
      <c r="E54" s="88"/>
      <c r="F54" s="88"/>
      <c r="G54" s="102" t="s">
        <v>121</v>
      </c>
      <c r="H54" s="214">
        <v>0</v>
      </c>
      <c r="I54" s="214">
        <v>0</v>
      </c>
      <c r="J54" s="214">
        <v>0</v>
      </c>
      <c r="K54" s="214">
        <v>0</v>
      </c>
      <c r="L54" s="214">
        <v>0</v>
      </c>
      <c r="M54" s="214">
        <v>0</v>
      </c>
      <c r="N54" s="214">
        <v>0</v>
      </c>
      <c r="O54" s="214">
        <v>0</v>
      </c>
      <c r="P54" s="214">
        <v>0</v>
      </c>
      <c r="Q54" s="214">
        <v>0</v>
      </c>
      <c r="R54" s="214">
        <v>0</v>
      </c>
      <c r="S54" s="214">
        <v>0</v>
      </c>
    </row>
    <row r="55" spans="1:20" x14ac:dyDescent="0.25">
      <c r="A55" s="102" t="s">
        <v>85</v>
      </c>
      <c r="B55" s="105">
        <f>SQRT((H58^2+I58^2+J58^2+K58^2+L58^2+M58^2+N58^2+O58^2+P58^2+Q58^2+R58^2+S58^2+B41^2)/H$27)</f>
        <v>0</v>
      </c>
      <c r="G55" s="102" t="s">
        <v>122</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SQRT((H59^2+I59^2+J59^2+K59^2+L59^2+M59^2+N59^2+O59^2+P59^2+Q59^2+R59^2+S59^2+B42^2)/H$27)</f>
        <v>0</v>
      </c>
      <c r="D56" s="217"/>
      <c r="E56" s="217"/>
      <c r="F56" s="217"/>
      <c r="G56" s="102" t="s">
        <v>123</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SQRT((H60^2+I60^2+J60^2+K60^2+L60^2+M60^2+N60^2+O60^2+P60^2+Q60^2+R60^2+S60^2+B43^2)/H$27)</f>
        <v>0</v>
      </c>
      <c r="D57" s="155"/>
      <c r="E57" s="155"/>
      <c r="F57" s="155"/>
      <c r="G57" s="82" t="s">
        <v>252</v>
      </c>
    </row>
    <row r="58" spans="1:20" x14ac:dyDescent="0.25">
      <c r="D58" s="219"/>
      <c r="E58" s="219"/>
      <c r="F58" s="219"/>
      <c r="G58" s="102" t="s">
        <v>85</v>
      </c>
      <c r="H58" s="222">
        <f>H112</f>
        <v>0</v>
      </c>
      <c r="I58" s="222">
        <f t="shared" ref="I58:S58" si="7">I112</f>
        <v>0</v>
      </c>
      <c r="J58" s="222">
        <f t="shared" si="7"/>
        <v>0</v>
      </c>
      <c r="K58" s="222">
        <f t="shared" si="7"/>
        <v>0</v>
      </c>
      <c r="L58" s="222">
        <f t="shared" si="7"/>
        <v>0</v>
      </c>
      <c r="M58" s="222">
        <f t="shared" si="7"/>
        <v>0</v>
      </c>
      <c r="N58" s="222">
        <f t="shared" si="7"/>
        <v>0</v>
      </c>
      <c r="O58" s="222">
        <f t="shared" si="7"/>
        <v>0</v>
      </c>
      <c r="P58" s="222">
        <f t="shared" si="7"/>
        <v>0</v>
      </c>
      <c r="Q58" s="222">
        <f t="shared" si="7"/>
        <v>0</v>
      </c>
      <c r="R58" s="222">
        <f t="shared" si="7"/>
        <v>0</v>
      </c>
      <c r="S58" s="222">
        <f t="shared" si="7"/>
        <v>0</v>
      </c>
    </row>
    <row r="59" spans="1:20" x14ac:dyDescent="0.25">
      <c r="D59" s="219"/>
      <c r="E59" s="219"/>
      <c r="F59" s="219"/>
      <c r="G59" s="102" t="s">
        <v>86</v>
      </c>
      <c r="H59" s="222">
        <f>H117</f>
        <v>0</v>
      </c>
      <c r="I59" s="222">
        <f t="shared" ref="I59:S59" si="8">I117</f>
        <v>0</v>
      </c>
      <c r="J59" s="222">
        <f t="shared" si="8"/>
        <v>0</v>
      </c>
      <c r="K59" s="222">
        <f t="shared" si="8"/>
        <v>0</v>
      </c>
      <c r="L59" s="222">
        <f t="shared" si="8"/>
        <v>0</v>
      </c>
      <c r="M59" s="222">
        <f t="shared" si="8"/>
        <v>0</v>
      </c>
      <c r="N59" s="222">
        <f t="shared" si="8"/>
        <v>0</v>
      </c>
      <c r="O59" s="222">
        <f t="shared" si="8"/>
        <v>0</v>
      </c>
      <c r="P59" s="222">
        <f t="shared" si="8"/>
        <v>0</v>
      </c>
      <c r="Q59" s="222">
        <f t="shared" si="8"/>
        <v>0</v>
      </c>
      <c r="R59" s="222">
        <f t="shared" si="8"/>
        <v>0</v>
      </c>
      <c r="S59" s="222">
        <f t="shared" si="8"/>
        <v>0</v>
      </c>
    </row>
    <row r="60" spans="1:20" x14ac:dyDescent="0.25">
      <c r="D60" s="219"/>
      <c r="E60" s="219"/>
      <c r="F60" s="219"/>
      <c r="G60" s="102" t="s">
        <v>87</v>
      </c>
      <c r="H60" s="222">
        <f>H122</f>
        <v>0</v>
      </c>
      <c r="I60" s="222">
        <f t="shared" ref="I60:S60" si="9">I122</f>
        <v>0</v>
      </c>
      <c r="J60" s="222">
        <f t="shared" si="9"/>
        <v>0</v>
      </c>
      <c r="K60" s="222">
        <f t="shared" si="9"/>
        <v>0</v>
      </c>
      <c r="L60" s="222">
        <f t="shared" si="9"/>
        <v>0</v>
      </c>
      <c r="M60" s="222">
        <f t="shared" si="9"/>
        <v>0</v>
      </c>
      <c r="N60" s="222">
        <f t="shared" si="9"/>
        <v>0</v>
      </c>
      <c r="O60" s="222">
        <f t="shared" si="9"/>
        <v>0</v>
      </c>
      <c r="P60" s="222">
        <f t="shared" si="9"/>
        <v>0</v>
      </c>
      <c r="Q60" s="222">
        <f t="shared" si="9"/>
        <v>0</v>
      </c>
      <c r="R60" s="222">
        <f t="shared" si="9"/>
        <v>0</v>
      </c>
      <c r="S60" s="222">
        <f t="shared" si="9"/>
        <v>0</v>
      </c>
    </row>
    <row r="61" spans="1:20" x14ac:dyDescent="0.25">
      <c r="D61" s="200"/>
      <c r="E61" s="200"/>
      <c r="F61" s="200"/>
      <c r="G61" s="215"/>
    </row>
    <row r="62" spans="1:20" s="155" customFormat="1" x14ac:dyDescent="0.25">
      <c r="D62" s="219"/>
      <c r="E62" s="219"/>
      <c r="F62" s="219"/>
      <c r="G62" s="81"/>
      <c r="H62" s="81"/>
      <c r="I62" s="118"/>
      <c r="J62" s="118"/>
      <c r="K62" s="118"/>
      <c r="L62" s="118"/>
      <c r="M62" s="118"/>
      <c r="N62" s="118"/>
      <c r="O62" s="81"/>
    </row>
    <row r="63" spans="1:20" s="155" customFormat="1" x14ac:dyDescent="0.25">
      <c r="D63" s="219"/>
      <c r="E63" s="219"/>
      <c r="F63" s="219"/>
      <c r="G63" s="119"/>
      <c r="H63" s="353"/>
      <c r="I63" s="148"/>
      <c r="J63" s="148"/>
      <c r="K63" s="148"/>
      <c r="L63" s="148"/>
      <c r="M63" s="148"/>
      <c r="N63" s="148"/>
      <c r="O63" s="118"/>
    </row>
    <row r="64" spans="1:20" s="155" customFormat="1" x14ac:dyDescent="0.25">
      <c r="D64" s="219"/>
      <c r="E64" s="219"/>
      <c r="F64" s="219"/>
      <c r="G64" s="119"/>
      <c r="H64" s="353"/>
      <c r="I64" s="148"/>
      <c r="J64" s="148"/>
      <c r="K64" s="148"/>
      <c r="L64" s="148"/>
      <c r="M64" s="148"/>
      <c r="N64" s="148"/>
      <c r="O64" s="118"/>
    </row>
    <row r="65" spans="1:19" s="155" customFormat="1" x14ac:dyDescent="0.25">
      <c r="D65" s="220"/>
      <c r="E65" s="220"/>
      <c r="F65" s="220"/>
      <c r="G65" s="119"/>
      <c r="H65" s="353"/>
      <c r="I65" s="148"/>
      <c r="J65" s="148"/>
      <c r="K65" s="148"/>
      <c r="L65" s="148"/>
      <c r="M65" s="148"/>
      <c r="N65" s="148"/>
      <c r="O65" s="118"/>
    </row>
    <row r="66" spans="1:19" s="155" customFormat="1" x14ac:dyDescent="0.25">
      <c r="D66" s="220"/>
      <c r="E66" s="220"/>
      <c r="F66" s="220"/>
      <c r="G66" s="119"/>
      <c r="H66" s="353"/>
      <c r="I66" s="148"/>
      <c r="J66" s="148"/>
      <c r="K66" s="148"/>
      <c r="L66" s="148"/>
      <c r="M66" s="148"/>
      <c r="N66" s="148"/>
      <c r="O66" s="118"/>
      <c r="S66" s="149">
        <f>N63</f>
        <v>0</v>
      </c>
    </row>
    <row r="67" spans="1:19" s="155" customFormat="1" x14ac:dyDescent="0.25">
      <c r="D67" s="220"/>
      <c r="E67" s="220"/>
      <c r="F67" s="220"/>
      <c r="G67" s="119"/>
      <c r="H67" s="353"/>
      <c r="I67" s="148"/>
      <c r="J67" s="148"/>
      <c r="K67" s="148"/>
      <c r="L67" s="148"/>
      <c r="M67" s="148"/>
      <c r="N67" s="148"/>
      <c r="O67" s="118"/>
    </row>
    <row r="68" spans="1:19" s="155" customFormat="1" x14ac:dyDescent="0.25">
      <c r="D68" s="214"/>
      <c r="E68" s="214"/>
      <c r="F68" s="214"/>
      <c r="G68" s="119"/>
      <c r="H68" s="353"/>
      <c r="I68" s="148"/>
      <c r="J68" s="148"/>
      <c r="K68" s="148"/>
      <c r="L68" s="148"/>
      <c r="M68" s="148"/>
      <c r="N68" s="148"/>
      <c r="O68" s="118"/>
    </row>
    <row r="69" spans="1:19" s="155" customFormat="1" x14ac:dyDescent="0.25">
      <c r="D69" s="81"/>
      <c r="E69" s="81"/>
      <c r="F69" s="81"/>
      <c r="G69" s="119"/>
      <c r="H69" s="197"/>
      <c r="I69" s="223"/>
      <c r="J69" s="223"/>
      <c r="K69" s="223"/>
      <c r="L69" s="223"/>
      <c r="M69" s="223"/>
      <c r="N69" s="223"/>
      <c r="O69" s="118"/>
    </row>
    <row r="70" spans="1:19" s="155" customFormat="1" x14ac:dyDescent="0.25">
      <c r="D70" s="81"/>
      <c r="E70" s="81"/>
      <c r="F70" s="81"/>
      <c r="G70" s="119"/>
      <c r="H70" s="197"/>
      <c r="I70" s="223"/>
      <c r="J70" s="223"/>
      <c r="K70" s="223"/>
      <c r="L70" s="223"/>
      <c r="M70" s="223"/>
      <c r="N70" s="223"/>
      <c r="O70" s="118"/>
    </row>
    <row r="71" spans="1:19" s="155" customFormat="1" x14ac:dyDescent="0.25">
      <c r="D71" s="81"/>
      <c r="E71" s="81"/>
      <c r="F71" s="81"/>
      <c r="G71" s="119"/>
      <c r="H71" s="197"/>
      <c r="I71" s="223"/>
      <c r="J71" s="223"/>
      <c r="K71" s="223"/>
      <c r="L71" s="223"/>
      <c r="M71" s="223"/>
      <c r="N71" s="223"/>
      <c r="O71" s="118"/>
    </row>
    <row r="72" spans="1:19" s="155" customFormat="1" x14ac:dyDescent="0.25">
      <c r="D72" s="81"/>
      <c r="E72" s="81"/>
      <c r="F72" s="81"/>
      <c r="G72" s="119"/>
      <c r="H72" s="197"/>
      <c r="I72" s="223"/>
      <c r="J72" s="223"/>
      <c r="K72" s="223"/>
      <c r="L72" s="223"/>
      <c r="M72" s="223"/>
      <c r="N72" s="223"/>
      <c r="O72" s="118"/>
    </row>
    <row r="73" spans="1:19" s="155" customFormat="1" x14ac:dyDescent="0.25">
      <c r="D73" s="81"/>
      <c r="E73" s="81"/>
      <c r="F73" s="81"/>
      <c r="G73" s="119"/>
      <c r="H73" s="197"/>
      <c r="I73" s="223"/>
      <c r="J73" s="223"/>
      <c r="K73" s="223"/>
      <c r="L73" s="223"/>
      <c r="M73" s="223"/>
      <c r="N73" s="223"/>
      <c r="O73" s="118"/>
    </row>
    <row r="74" spans="1:19" s="155" customFormat="1" x14ac:dyDescent="0.25">
      <c r="D74" s="81"/>
      <c r="E74" s="81"/>
      <c r="F74" s="81"/>
      <c r="G74" s="119"/>
      <c r="H74" s="197"/>
      <c r="I74" s="223"/>
      <c r="J74" s="223"/>
      <c r="K74" s="223"/>
      <c r="L74" s="223"/>
      <c r="M74" s="223"/>
      <c r="N74" s="223"/>
      <c r="O74" s="118"/>
    </row>
    <row r="75" spans="1:19" s="155" customFormat="1" x14ac:dyDescent="0.25">
      <c r="D75" s="81"/>
      <c r="E75" s="81"/>
      <c r="F75" s="81"/>
      <c r="G75" s="119"/>
      <c r="H75" s="197"/>
      <c r="I75" s="223"/>
      <c r="J75" s="223"/>
      <c r="K75" s="223"/>
      <c r="L75" s="223"/>
      <c r="M75" s="223"/>
      <c r="N75" s="223"/>
      <c r="O75" s="118"/>
    </row>
    <row r="76" spans="1:19" s="155" customFormat="1" x14ac:dyDescent="0.25">
      <c r="D76" s="81"/>
      <c r="E76" s="81"/>
      <c r="F76" s="81"/>
      <c r="G76" s="119"/>
      <c r="H76" s="197"/>
      <c r="I76" s="223"/>
      <c r="J76" s="223"/>
      <c r="K76" s="223"/>
      <c r="L76" s="223"/>
      <c r="M76" s="223"/>
      <c r="N76" s="223"/>
      <c r="O76" s="118"/>
    </row>
    <row r="77" spans="1:19" s="155" customFormat="1" x14ac:dyDescent="0.25">
      <c r="A77" s="116"/>
      <c r="B77" s="210"/>
      <c r="G77" s="119"/>
      <c r="H77" s="197"/>
      <c r="I77" s="223"/>
      <c r="J77" s="223"/>
      <c r="K77" s="223"/>
      <c r="L77" s="223"/>
      <c r="M77" s="223"/>
      <c r="N77" s="223"/>
      <c r="O77" s="118"/>
    </row>
    <row r="78" spans="1:19" s="155" customFormat="1" x14ac:dyDescent="0.25">
      <c r="A78" s="116"/>
      <c r="B78" s="210"/>
      <c r="G78" s="119"/>
      <c r="H78" s="197"/>
      <c r="I78" s="223"/>
      <c r="J78" s="223"/>
      <c r="K78" s="223"/>
      <c r="L78" s="223"/>
      <c r="M78" s="223"/>
      <c r="N78" s="223"/>
      <c r="O78" s="118"/>
    </row>
    <row r="79" spans="1:19" s="155" customFormat="1" x14ac:dyDescent="0.25">
      <c r="A79" s="116"/>
      <c r="B79" s="210"/>
      <c r="G79" s="119"/>
      <c r="H79" s="197"/>
      <c r="I79" s="223"/>
      <c r="J79" s="223"/>
      <c r="K79" s="223"/>
      <c r="L79" s="223"/>
      <c r="M79" s="223"/>
      <c r="N79" s="223"/>
      <c r="O79" s="118"/>
    </row>
    <row r="80" spans="1:19" s="155" customFormat="1" x14ac:dyDescent="0.25">
      <c r="A80" s="116"/>
      <c r="B80" s="210"/>
      <c r="G80" s="119"/>
      <c r="H80" s="197"/>
      <c r="I80" s="223"/>
      <c r="J80" s="223"/>
      <c r="K80" s="223"/>
      <c r="L80" s="223"/>
      <c r="M80" s="223"/>
      <c r="N80" s="223"/>
      <c r="O80" s="118"/>
    </row>
    <row r="81" spans="1:19" s="155" customFormat="1" x14ac:dyDescent="0.25">
      <c r="A81" s="116"/>
      <c r="B81" s="210"/>
      <c r="G81" s="119"/>
      <c r="H81" s="197"/>
      <c r="I81" s="223"/>
      <c r="J81" s="223"/>
      <c r="K81" s="223"/>
      <c r="L81" s="223"/>
      <c r="M81" s="223"/>
      <c r="N81" s="223"/>
      <c r="O81" s="118"/>
    </row>
    <row r="82" spans="1:19" s="155" customFormat="1" x14ac:dyDescent="0.25">
      <c r="A82" s="116"/>
      <c r="B82" s="210"/>
      <c r="G82" s="119"/>
      <c r="H82" s="197"/>
      <c r="I82" s="223"/>
      <c r="J82" s="223"/>
      <c r="K82" s="223"/>
      <c r="L82" s="223"/>
      <c r="M82" s="223"/>
      <c r="N82" s="223"/>
      <c r="O82" s="118"/>
    </row>
    <row r="83" spans="1:19" s="155" customFormat="1" x14ac:dyDescent="0.25">
      <c r="A83" s="116"/>
      <c r="B83" s="210"/>
      <c r="G83" s="119"/>
      <c r="H83" s="197"/>
      <c r="I83" s="223"/>
      <c r="J83" s="223"/>
      <c r="K83" s="223"/>
      <c r="L83" s="223"/>
      <c r="M83" s="223"/>
      <c r="N83" s="223"/>
      <c r="O83" s="118"/>
    </row>
    <row r="84" spans="1:19" s="155" customFormat="1" x14ac:dyDescent="0.25">
      <c r="A84" s="116"/>
      <c r="B84" s="210"/>
      <c r="G84" s="119"/>
      <c r="H84" s="197"/>
      <c r="I84" s="223"/>
      <c r="J84" s="223"/>
      <c r="K84" s="223"/>
      <c r="L84" s="223"/>
      <c r="M84" s="223"/>
      <c r="N84" s="223"/>
      <c r="O84" s="118"/>
    </row>
    <row r="85" spans="1:19" s="155" customFormat="1" x14ac:dyDescent="0.25">
      <c r="A85" s="116"/>
      <c r="B85" s="210"/>
      <c r="G85" s="119"/>
      <c r="H85" s="197"/>
      <c r="I85" s="223"/>
      <c r="J85" s="223"/>
      <c r="K85" s="223"/>
      <c r="L85" s="223"/>
      <c r="M85" s="223"/>
      <c r="N85" s="223"/>
      <c r="O85" s="118"/>
    </row>
    <row r="86" spans="1:19" s="155" customFormat="1" x14ac:dyDescent="0.25">
      <c r="A86" s="116"/>
      <c r="B86" s="210"/>
      <c r="G86" s="119"/>
      <c r="H86" s="197"/>
      <c r="I86" s="223"/>
      <c r="J86" s="223"/>
      <c r="K86" s="223"/>
      <c r="L86" s="223"/>
      <c r="M86" s="223"/>
      <c r="N86" s="223"/>
      <c r="O86" s="118"/>
    </row>
    <row r="87" spans="1:19" s="155" customFormat="1" x14ac:dyDescent="0.25">
      <c r="A87" s="116"/>
      <c r="B87" s="210"/>
      <c r="G87" s="119"/>
      <c r="H87" s="197"/>
      <c r="I87" s="223"/>
      <c r="J87" s="223"/>
      <c r="K87" s="223"/>
      <c r="L87" s="223"/>
      <c r="M87" s="223"/>
      <c r="N87" s="223"/>
      <c r="O87" s="118"/>
    </row>
    <row r="88" spans="1:19" s="155" customFormat="1" x14ac:dyDescent="0.25">
      <c r="A88" s="116"/>
      <c r="B88" s="210"/>
      <c r="G88" s="119"/>
      <c r="H88" s="197"/>
      <c r="I88" s="223"/>
      <c r="J88" s="223"/>
      <c r="K88" s="223"/>
      <c r="L88" s="223"/>
      <c r="M88" s="223"/>
      <c r="N88" s="223"/>
      <c r="O88" s="118"/>
    </row>
    <row r="89" spans="1:19" s="155" customFormat="1" x14ac:dyDescent="0.25">
      <c r="A89" s="116"/>
      <c r="B89" s="210"/>
      <c r="G89" s="119"/>
      <c r="H89" s="197"/>
      <c r="I89" s="223"/>
      <c r="J89" s="223"/>
      <c r="K89" s="223"/>
      <c r="L89" s="223"/>
      <c r="M89" s="223"/>
      <c r="N89" s="223"/>
      <c r="O89" s="118"/>
    </row>
    <row r="90" spans="1:19" s="155" customFormat="1" x14ac:dyDescent="0.25">
      <c r="A90" s="116"/>
      <c r="B90" s="210"/>
    </row>
    <row r="91" spans="1:19" s="155" customFormat="1" x14ac:dyDescent="0.25">
      <c r="A91" s="116"/>
      <c r="B91" s="210"/>
    </row>
    <row r="92" spans="1:19" x14ac:dyDescent="0.25">
      <c r="A92" s="116"/>
      <c r="B92" s="210"/>
      <c r="C92" s="155"/>
      <c r="D92" s="155"/>
      <c r="E92" s="155"/>
      <c r="F92" s="155"/>
    </row>
    <row r="93" spans="1:19" x14ac:dyDescent="0.25">
      <c r="A93" s="116"/>
      <c r="B93" s="210"/>
      <c r="C93" s="155"/>
      <c r="D93" s="155"/>
      <c r="E93" s="155"/>
      <c r="F93" s="155"/>
      <c r="G93" s="224" t="s">
        <v>259</v>
      </c>
    </row>
    <row r="94" spans="1:19" x14ac:dyDescent="0.25">
      <c r="A94" s="116"/>
      <c r="B94" s="210"/>
      <c r="C94" s="155"/>
      <c r="D94" s="155"/>
      <c r="E94" s="155"/>
      <c r="F94" s="155"/>
      <c r="G94" s="212"/>
      <c r="H94" s="150" t="s">
        <v>260</v>
      </c>
    </row>
    <row r="95" spans="1:19" x14ac:dyDescent="0.25">
      <c r="A95" s="116"/>
      <c r="B95" s="210"/>
      <c r="C95" s="155"/>
      <c r="D95" s="155"/>
      <c r="E95" s="155"/>
      <c r="F95" s="155"/>
      <c r="G95" s="150" t="s">
        <v>258</v>
      </c>
      <c r="H95" s="81">
        <f t="shared" ref="H95:S95" si="10">H47/ABS(H32+0.000001)</f>
        <v>0</v>
      </c>
      <c r="I95" s="81">
        <f t="shared" si="10"/>
        <v>0</v>
      </c>
      <c r="J95" s="81">
        <f t="shared" si="10"/>
        <v>0</v>
      </c>
      <c r="K95" s="81">
        <f t="shared" si="10"/>
        <v>0</v>
      </c>
      <c r="L95" s="81">
        <f t="shared" si="10"/>
        <v>0</v>
      </c>
      <c r="M95" s="81">
        <f t="shared" si="10"/>
        <v>0</v>
      </c>
      <c r="N95" s="81">
        <f t="shared" si="10"/>
        <v>0</v>
      </c>
      <c r="O95" s="81">
        <f t="shared" si="10"/>
        <v>0</v>
      </c>
      <c r="P95" s="81">
        <f t="shared" si="10"/>
        <v>0</v>
      </c>
      <c r="Q95" s="81">
        <f t="shared" si="10"/>
        <v>0</v>
      </c>
      <c r="R95" s="81">
        <f t="shared" si="10"/>
        <v>0</v>
      </c>
      <c r="S95" s="81">
        <f t="shared" si="10"/>
        <v>0</v>
      </c>
    </row>
    <row r="96" spans="1:19" x14ac:dyDescent="0.25">
      <c r="A96" s="116"/>
      <c r="B96" s="210"/>
      <c r="C96" s="155"/>
      <c r="D96" s="155"/>
      <c r="E96" s="155"/>
      <c r="F96" s="155"/>
      <c r="G96" s="150" t="s">
        <v>258</v>
      </c>
      <c r="H96" s="81">
        <f t="shared" ref="H96:S96" si="11">H48/ABS(H31+0.000001)</f>
        <v>0</v>
      </c>
      <c r="I96" s="81">
        <f t="shared" si="11"/>
        <v>0</v>
      </c>
      <c r="J96" s="81">
        <f t="shared" si="11"/>
        <v>0</v>
      </c>
      <c r="K96" s="81">
        <f t="shared" si="11"/>
        <v>0</v>
      </c>
      <c r="L96" s="81">
        <f t="shared" si="11"/>
        <v>0</v>
      </c>
      <c r="M96" s="81">
        <f t="shared" si="11"/>
        <v>0</v>
      </c>
      <c r="N96" s="81">
        <f t="shared" si="11"/>
        <v>0</v>
      </c>
      <c r="O96" s="81">
        <f t="shared" si="11"/>
        <v>0</v>
      </c>
      <c r="P96" s="81">
        <f t="shared" si="11"/>
        <v>0</v>
      </c>
      <c r="Q96" s="81">
        <f t="shared" si="11"/>
        <v>0</v>
      </c>
      <c r="R96" s="81">
        <f t="shared" si="11"/>
        <v>0</v>
      </c>
      <c r="S96" s="81">
        <f t="shared" si="11"/>
        <v>0</v>
      </c>
    </row>
    <row r="97" spans="1:19" x14ac:dyDescent="0.25">
      <c r="A97" s="116"/>
      <c r="B97" s="210"/>
      <c r="C97" s="155"/>
      <c r="D97" s="155"/>
      <c r="E97" s="155"/>
      <c r="F97" s="155"/>
      <c r="G97" s="81" t="s">
        <v>256</v>
      </c>
      <c r="H97" s="225">
        <f>IF(MIN(H95,H96)&gt;1,0,MIN(H95,H96))</f>
        <v>0</v>
      </c>
      <c r="I97" s="225">
        <f t="shared" ref="I97:S97" si="12">IF(MIN(I95,I96)&gt;1,0,MIN(I95,I96))</f>
        <v>0</v>
      </c>
      <c r="J97" s="225">
        <f t="shared" si="12"/>
        <v>0</v>
      </c>
      <c r="K97" s="225">
        <f t="shared" si="12"/>
        <v>0</v>
      </c>
      <c r="L97" s="225">
        <f t="shared" si="12"/>
        <v>0</v>
      </c>
      <c r="M97" s="225">
        <f t="shared" si="12"/>
        <v>0</v>
      </c>
      <c r="N97" s="225">
        <f t="shared" si="12"/>
        <v>0</v>
      </c>
      <c r="O97" s="225">
        <f t="shared" si="12"/>
        <v>0</v>
      </c>
      <c r="P97" s="225">
        <f t="shared" si="12"/>
        <v>0</v>
      </c>
      <c r="Q97" s="225">
        <f t="shared" si="12"/>
        <v>0</v>
      </c>
      <c r="R97" s="225">
        <f t="shared" si="12"/>
        <v>0</v>
      </c>
      <c r="S97" s="225">
        <f t="shared" si="12"/>
        <v>0</v>
      </c>
    </row>
    <row r="98" spans="1:19" x14ac:dyDescent="0.25">
      <c r="A98" s="116"/>
      <c r="B98" s="210"/>
      <c r="C98" s="155"/>
      <c r="D98" s="155"/>
      <c r="E98" s="155"/>
      <c r="F98" s="155"/>
      <c r="H98" s="150" t="s">
        <v>261</v>
      </c>
      <c r="I98" s="150"/>
      <c r="J98" s="150"/>
      <c r="K98" s="150"/>
      <c r="L98" s="150"/>
      <c r="M98" s="150"/>
      <c r="N98" s="150"/>
      <c r="O98" s="150"/>
      <c r="P98" s="150"/>
      <c r="Q98" s="150"/>
      <c r="R98" s="150"/>
      <c r="S98" s="150"/>
    </row>
    <row r="99" spans="1:19" x14ac:dyDescent="0.25">
      <c r="A99" s="116"/>
      <c r="B99" s="210"/>
      <c r="C99" s="155"/>
      <c r="D99" s="155"/>
      <c r="E99" s="155"/>
      <c r="F99" s="155"/>
      <c r="G99" s="115" t="s">
        <v>258</v>
      </c>
      <c r="H99" s="155">
        <f t="shared" ref="H99:S99" si="13">H48/ABS(H30+0.000001)</f>
        <v>0</v>
      </c>
      <c r="I99" s="155">
        <f t="shared" si="13"/>
        <v>0</v>
      </c>
      <c r="J99" s="155">
        <f t="shared" si="13"/>
        <v>0</v>
      </c>
      <c r="K99" s="155">
        <f t="shared" si="13"/>
        <v>0</v>
      </c>
      <c r="L99" s="155">
        <f t="shared" si="13"/>
        <v>0</v>
      </c>
      <c r="M99" s="155">
        <f t="shared" si="13"/>
        <v>0</v>
      </c>
      <c r="N99" s="155">
        <f t="shared" si="13"/>
        <v>0</v>
      </c>
      <c r="O99" s="155">
        <f t="shared" si="13"/>
        <v>0</v>
      </c>
      <c r="P99" s="155">
        <f t="shared" si="13"/>
        <v>0</v>
      </c>
      <c r="Q99" s="155">
        <f t="shared" si="13"/>
        <v>0</v>
      </c>
      <c r="R99" s="155">
        <f t="shared" si="13"/>
        <v>0</v>
      </c>
      <c r="S99" s="155">
        <f t="shared" si="13"/>
        <v>0</v>
      </c>
    </row>
    <row r="100" spans="1:19" x14ac:dyDescent="0.25">
      <c r="A100" s="116"/>
      <c r="B100" s="210"/>
      <c r="C100" s="155"/>
      <c r="D100" s="155"/>
      <c r="E100" s="155"/>
      <c r="F100" s="155"/>
      <c r="G100" s="115" t="s">
        <v>258</v>
      </c>
      <c r="H100" s="226">
        <f t="shared" ref="H100:S100" si="14">H46/ABS(H32+0.000001)</f>
        <v>0</v>
      </c>
      <c r="I100" s="226">
        <f t="shared" si="14"/>
        <v>0</v>
      </c>
      <c r="J100" s="226">
        <f t="shared" si="14"/>
        <v>0</v>
      </c>
      <c r="K100" s="226">
        <f t="shared" si="14"/>
        <v>0</v>
      </c>
      <c r="L100" s="226">
        <f t="shared" si="14"/>
        <v>0</v>
      </c>
      <c r="M100" s="226">
        <f t="shared" si="14"/>
        <v>0</v>
      </c>
      <c r="N100" s="226">
        <f t="shared" si="14"/>
        <v>0</v>
      </c>
      <c r="O100" s="226">
        <f t="shared" si="14"/>
        <v>0</v>
      </c>
      <c r="P100" s="226">
        <f t="shared" si="14"/>
        <v>0</v>
      </c>
      <c r="Q100" s="226">
        <f t="shared" si="14"/>
        <v>0</v>
      </c>
      <c r="R100" s="226">
        <f t="shared" si="14"/>
        <v>0</v>
      </c>
      <c r="S100" s="226">
        <f t="shared" si="14"/>
        <v>0</v>
      </c>
    </row>
    <row r="101" spans="1:19" x14ac:dyDescent="0.25">
      <c r="A101" s="116"/>
      <c r="B101" s="210"/>
      <c r="C101" s="155"/>
      <c r="D101" s="155"/>
      <c r="E101" s="155"/>
      <c r="F101" s="155"/>
      <c r="G101" s="81" t="s">
        <v>256</v>
      </c>
      <c r="H101" s="225">
        <f>IF(MIN(H99,H100)&gt;1,0,MIN(H99,H100))</f>
        <v>0</v>
      </c>
      <c r="I101" s="225">
        <f t="shared" ref="I101:S101" si="15">IF(MIN(I99,I100)&gt;1,0,MIN(I99,I100))</f>
        <v>0</v>
      </c>
      <c r="J101" s="225">
        <f t="shared" si="15"/>
        <v>0</v>
      </c>
      <c r="K101" s="225">
        <f t="shared" si="15"/>
        <v>0</v>
      </c>
      <c r="L101" s="225">
        <f t="shared" si="15"/>
        <v>0</v>
      </c>
      <c r="M101" s="225">
        <f t="shared" si="15"/>
        <v>0</v>
      </c>
      <c r="N101" s="225">
        <f t="shared" si="15"/>
        <v>0</v>
      </c>
      <c r="O101" s="225">
        <f t="shared" si="15"/>
        <v>0</v>
      </c>
      <c r="P101" s="225">
        <f t="shared" si="15"/>
        <v>0</v>
      </c>
      <c r="Q101" s="225">
        <f t="shared" si="15"/>
        <v>0</v>
      </c>
      <c r="R101" s="225">
        <f t="shared" si="15"/>
        <v>0</v>
      </c>
      <c r="S101" s="225">
        <f t="shared" si="15"/>
        <v>0</v>
      </c>
    </row>
    <row r="102" spans="1:19" x14ac:dyDescent="0.25">
      <c r="A102" s="116"/>
      <c r="B102" s="210"/>
      <c r="C102" s="155"/>
      <c r="D102" s="155"/>
      <c r="E102" s="155"/>
      <c r="F102" s="155"/>
      <c r="H102" s="81" t="s">
        <v>262</v>
      </c>
    </row>
    <row r="103" spans="1:19" x14ac:dyDescent="0.25">
      <c r="A103" s="116"/>
      <c r="B103" s="210"/>
      <c r="C103" s="155"/>
      <c r="D103" s="155"/>
      <c r="E103" s="155"/>
      <c r="F103" s="155"/>
      <c r="G103" s="150" t="s">
        <v>258</v>
      </c>
      <c r="H103" s="81">
        <f t="shared" ref="H103:S103" si="16">H47/ABS(H30+0.000001)</f>
        <v>0</v>
      </c>
      <c r="I103" s="81">
        <f t="shared" si="16"/>
        <v>0</v>
      </c>
      <c r="J103" s="81">
        <f t="shared" si="16"/>
        <v>0</v>
      </c>
      <c r="K103" s="81">
        <f t="shared" si="16"/>
        <v>0</v>
      </c>
      <c r="L103" s="81">
        <f t="shared" si="16"/>
        <v>0</v>
      </c>
      <c r="M103" s="81">
        <f t="shared" si="16"/>
        <v>0</v>
      </c>
      <c r="N103" s="81">
        <f t="shared" si="16"/>
        <v>0</v>
      </c>
      <c r="O103" s="81">
        <f t="shared" si="16"/>
        <v>0</v>
      </c>
      <c r="P103" s="81">
        <f t="shared" si="16"/>
        <v>0</v>
      </c>
      <c r="Q103" s="81">
        <f t="shared" si="16"/>
        <v>0</v>
      </c>
      <c r="R103" s="81">
        <f t="shared" si="16"/>
        <v>0</v>
      </c>
      <c r="S103" s="81">
        <f t="shared" si="16"/>
        <v>0</v>
      </c>
    </row>
    <row r="104" spans="1:19" x14ac:dyDescent="0.25">
      <c r="A104" s="116"/>
      <c r="B104" s="210"/>
      <c r="C104" s="155"/>
      <c r="D104" s="155"/>
      <c r="E104" s="155"/>
      <c r="F104" s="155"/>
      <c r="G104" s="150" t="s">
        <v>258</v>
      </c>
      <c r="H104" s="81">
        <f t="shared" ref="H104:S104" si="17">H46/ABS(H31+0.000001)</f>
        <v>0</v>
      </c>
      <c r="I104" s="81">
        <f t="shared" si="17"/>
        <v>0</v>
      </c>
      <c r="J104" s="81">
        <f t="shared" si="17"/>
        <v>0</v>
      </c>
      <c r="K104" s="81">
        <f t="shared" si="17"/>
        <v>0</v>
      </c>
      <c r="L104" s="81">
        <f t="shared" si="17"/>
        <v>0</v>
      </c>
      <c r="M104" s="81">
        <f t="shared" si="17"/>
        <v>0</v>
      </c>
      <c r="N104" s="81">
        <f t="shared" si="17"/>
        <v>0</v>
      </c>
      <c r="O104" s="81">
        <f t="shared" si="17"/>
        <v>0</v>
      </c>
      <c r="P104" s="81">
        <f t="shared" si="17"/>
        <v>0</v>
      </c>
      <c r="Q104" s="81">
        <f t="shared" si="17"/>
        <v>0</v>
      </c>
      <c r="R104" s="81">
        <f t="shared" si="17"/>
        <v>0</v>
      </c>
      <c r="S104" s="81">
        <f t="shared" si="17"/>
        <v>0</v>
      </c>
    </row>
    <row r="105" spans="1:19" x14ac:dyDescent="0.25">
      <c r="A105" s="116"/>
      <c r="B105" s="210"/>
      <c r="C105" s="155"/>
      <c r="D105" s="155"/>
      <c r="E105" s="155"/>
      <c r="F105" s="155"/>
      <c r="G105" s="81" t="s">
        <v>256</v>
      </c>
      <c r="H105" s="225">
        <f>IF(MIN(H103,H104)&gt;1,0,MIN(H103,H104))</f>
        <v>0</v>
      </c>
      <c r="I105" s="225">
        <f t="shared" ref="I105:S105" si="18">IF(MIN(I103,I104)&gt;1,0,MIN(I103,I104))</f>
        <v>0</v>
      </c>
      <c r="J105" s="225">
        <f t="shared" si="18"/>
        <v>0</v>
      </c>
      <c r="K105" s="225">
        <f t="shared" si="18"/>
        <v>0</v>
      </c>
      <c r="L105" s="225">
        <f t="shared" si="18"/>
        <v>0</v>
      </c>
      <c r="M105" s="225">
        <f t="shared" si="18"/>
        <v>0</v>
      </c>
      <c r="N105" s="225">
        <f t="shared" si="18"/>
        <v>0</v>
      </c>
      <c r="O105" s="225">
        <f t="shared" si="18"/>
        <v>0</v>
      </c>
      <c r="P105" s="225">
        <f t="shared" si="18"/>
        <v>0</v>
      </c>
      <c r="Q105" s="225">
        <f t="shared" si="18"/>
        <v>0</v>
      </c>
      <c r="R105" s="225">
        <f t="shared" si="18"/>
        <v>0</v>
      </c>
      <c r="S105" s="225">
        <f t="shared" si="18"/>
        <v>0</v>
      </c>
    </row>
    <row r="106" spans="1:19" x14ac:dyDescent="0.25">
      <c r="A106" s="116"/>
      <c r="B106" s="210"/>
      <c r="C106" s="155"/>
      <c r="D106" s="155"/>
      <c r="E106" s="155"/>
      <c r="F106" s="155"/>
    </row>
    <row r="107" spans="1:19" x14ac:dyDescent="0.25">
      <c r="G107" s="224" t="s">
        <v>308</v>
      </c>
      <c r="H107" s="224"/>
      <c r="I107" s="224"/>
      <c r="J107" s="224"/>
      <c r="K107" s="224"/>
      <c r="L107" s="224"/>
      <c r="M107" s="224"/>
      <c r="N107" s="224"/>
      <c r="O107" s="224"/>
      <c r="P107" s="224"/>
    </row>
    <row r="108" spans="1:19" x14ac:dyDescent="0.25">
      <c r="H108" s="102" t="s">
        <v>253</v>
      </c>
      <c r="I108" s="102"/>
      <c r="J108" s="102"/>
      <c r="K108" s="102"/>
      <c r="L108" s="102"/>
      <c r="M108" s="102"/>
      <c r="N108" s="102"/>
      <c r="O108" s="102"/>
      <c r="P108" s="102"/>
      <c r="Q108" s="102"/>
      <c r="R108" s="102"/>
      <c r="S108" s="102"/>
    </row>
    <row r="109" spans="1:19" x14ac:dyDescent="0.25">
      <c r="G109" s="150" t="s">
        <v>258</v>
      </c>
      <c r="H109" s="225">
        <f t="shared" ref="H109:S109" si="19">H55/(H32+0.000001)</f>
        <v>0</v>
      </c>
      <c r="I109" s="225">
        <f t="shared" si="19"/>
        <v>0</v>
      </c>
      <c r="J109" s="225">
        <f t="shared" si="19"/>
        <v>0</v>
      </c>
      <c r="K109" s="225">
        <f t="shared" si="19"/>
        <v>0</v>
      </c>
      <c r="L109" s="225">
        <f t="shared" si="19"/>
        <v>0</v>
      </c>
      <c r="M109" s="225">
        <f t="shared" si="19"/>
        <v>0</v>
      </c>
      <c r="N109" s="225">
        <f t="shared" si="19"/>
        <v>0</v>
      </c>
      <c r="O109" s="225">
        <f t="shared" si="19"/>
        <v>0</v>
      </c>
      <c r="P109" s="225">
        <f t="shared" si="19"/>
        <v>0</v>
      </c>
      <c r="Q109" s="225">
        <f t="shared" si="19"/>
        <v>0</v>
      </c>
      <c r="R109" s="225">
        <f t="shared" si="19"/>
        <v>0</v>
      </c>
      <c r="S109" s="225">
        <f t="shared" si="19"/>
        <v>0</v>
      </c>
    </row>
    <row r="110" spans="1:19" x14ac:dyDescent="0.25">
      <c r="G110" s="150" t="s">
        <v>258</v>
      </c>
      <c r="H110" s="227">
        <f t="shared" ref="H110:S110" si="20">H56/(H31+0.000001)</f>
        <v>0</v>
      </c>
      <c r="I110" s="227">
        <f t="shared" si="20"/>
        <v>0</v>
      </c>
      <c r="J110" s="227">
        <f t="shared" si="20"/>
        <v>0</v>
      </c>
      <c r="K110" s="227">
        <f t="shared" si="20"/>
        <v>0</v>
      </c>
      <c r="L110" s="227">
        <f t="shared" si="20"/>
        <v>0</v>
      </c>
      <c r="M110" s="227">
        <f t="shared" si="20"/>
        <v>0</v>
      </c>
      <c r="N110" s="227">
        <f t="shared" si="20"/>
        <v>0</v>
      </c>
      <c r="O110" s="227">
        <f t="shared" si="20"/>
        <v>0</v>
      </c>
      <c r="P110" s="227">
        <f t="shared" si="20"/>
        <v>0</v>
      </c>
      <c r="Q110" s="227">
        <f t="shared" si="20"/>
        <v>0</v>
      </c>
      <c r="R110" s="227">
        <f t="shared" si="20"/>
        <v>0</v>
      </c>
      <c r="S110" s="227">
        <f t="shared" si="20"/>
        <v>0</v>
      </c>
    </row>
    <row r="111" spans="1:19" x14ac:dyDescent="0.25">
      <c r="G111" s="81" t="s">
        <v>257</v>
      </c>
      <c r="H111" s="144">
        <f>SIGN(H109+0.000000000001)*SIGN(H110+0.000000000001)</f>
        <v>1</v>
      </c>
      <c r="I111" s="144">
        <f t="shared" ref="I111:S111" si="21">SIGN(I109+0.000000000001)*SIGN(I110+0.000000000001)</f>
        <v>1</v>
      </c>
      <c r="J111" s="144">
        <f t="shared" si="21"/>
        <v>1</v>
      </c>
      <c r="K111" s="144">
        <f t="shared" si="21"/>
        <v>1</v>
      </c>
      <c r="L111" s="144">
        <f t="shared" si="21"/>
        <v>1</v>
      </c>
      <c r="M111" s="144">
        <f t="shared" si="21"/>
        <v>1</v>
      </c>
      <c r="N111" s="144">
        <f t="shared" si="21"/>
        <v>1</v>
      </c>
      <c r="O111" s="144">
        <f t="shared" si="21"/>
        <v>1</v>
      </c>
      <c r="P111" s="144">
        <f t="shared" si="21"/>
        <v>1</v>
      </c>
      <c r="Q111" s="144">
        <f t="shared" si="21"/>
        <v>1</v>
      </c>
      <c r="R111" s="144">
        <f t="shared" si="21"/>
        <v>1</v>
      </c>
      <c r="S111" s="144">
        <f t="shared" si="21"/>
        <v>1</v>
      </c>
    </row>
    <row r="112" spans="1:19" x14ac:dyDescent="0.25">
      <c r="G112" s="81" t="s">
        <v>256</v>
      </c>
      <c r="H112" s="225">
        <f>IF(H111*MIN(ABS(H109),ABS(H110))&gt;1,0,H111*MIN(ABS(H109),ABS(H110)))</f>
        <v>0</v>
      </c>
      <c r="I112" s="225">
        <f t="shared" ref="I112:S112" si="22">IF(I111*MIN(ABS(I109),ABS(I110))&gt;1,0,I111*MIN(ABS(I109),ABS(I110)))</f>
        <v>0</v>
      </c>
      <c r="J112" s="225">
        <f t="shared" si="22"/>
        <v>0</v>
      </c>
      <c r="K112" s="225">
        <f t="shared" si="22"/>
        <v>0</v>
      </c>
      <c r="L112" s="225">
        <f t="shared" si="22"/>
        <v>0</v>
      </c>
      <c r="M112" s="225">
        <f t="shared" si="22"/>
        <v>0</v>
      </c>
      <c r="N112" s="225">
        <f t="shared" si="22"/>
        <v>0</v>
      </c>
      <c r="O112" s="225">
        <f t="shared" si="22"/>
        <v>0</v>
      </c>
      <c r="P112" s="225">
        <f t="shared" si="22"/>
        <v>0</v>
      </c>
      <c r="Q112" s="225">
        <f t="shared" si="22"/>
        <v>0</v>
      </c>
      <c r="R112" s="225">
        <f t="shared" si="22"/>
        <v>0</v>
      </c>
      <c r="S112" s="225">
        <f t="shared" si="22"/>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5">
        <f t="shared" ref="H114:S114" si="23">-H56/(H30+0.000001)</f>
        <v>0</v>
      </c>
      <c r="I114" s="155">
        <f t="shared" si="23"/>
        <v>0</v>
      </c>
      <c r="J114" s="155">
        <f t="shared" si="23"/>
        <v>0</v>
      </c>
      <c r="K114" s="155">
        <f t="shared" si="23"/>
        <v>0</v>
      </c>
      <c r="L114" s="155">
        <f t="shared" si="23"/>
        <v>0</v>
      </c>
      <c r="M114" s="155">
        <f t="shared" si="23"/>
        <v>0</v>
      </c>
      <c r="N114" s="155">
        <f t="shared" si="23"/>
        <v>0</v>
      </c>
      <c r="O114" s="155">
        <f t="shared" si="23"/>
        <v>0</v>
      </c>
      <c r="P114" s="155">
        <f t="shared" si="23"/>
        <v>0</v>
      </c>
      <c r="Q114" s="155">
        <f t="shared" si="23"/>
        <v>0</v>
      </c>
      <c r="R114" s="155">
        <f t="shared" si="23"/>
        <v>0</v>
      </c>
      <c r="S114" s="155">
        <f t="shared" si="23"/>
        <v>0</v>
      </c>
    </row>
    <row r="115" spans="7:19" x14ac:dyDescent="0.25">
      <c r="G115" s="115" t="s">
        <v>258</v>
      </c>
      <c r="H115" s="155">
        <f t="shared" ref="H115:S115" si="24">H54/(H32+0.000001)</f>
        <v>0</v>
      </c>
      <c r="I115" s="155">
        <f t="shared" si="24"/>
        <v>0</v>
      </c>
      <c r="J115" s="155">
        <f t="shared" si="24"/>
        <v>0</v>
      </c>
      <c r="K115" s="155">
        <f t="shared" si="24"/>
        <v>0</v>
      </c>
      <c r="L115" s="155">
        <f t="shared" si="24"/>
        <v>0</v>
      </c>
      <c r="M115" s="155">
        <f t="shared" si="24"/>
        <v>0</v>
      </c>
      <c r="N115" s="155">
        <f t="shared" si="24"/>
        <v>0</v>
      </c>
      <c r="O115" s="155">
        <f t="shared" si="24"/>
        <v>0</v>
      </c>
      <c r="P115" s="155">
        <f t="shared" si="24"/>
        <v>0</v>
      </c>
      <c r="Q115" s="155">
        <f t="shared" si="24"/>
        <v>0</v>
      </c>
      <c r="R115" s="155">
        <f t="shared" si="24"/>
        <v>0</v>
      </c>
      <c r="S115" s="155">
        <f t="shared" si="24"/>
        <v>0</v>
      </c>
    </row>
    <row r="116" spans="7:19" x14ac:dyDescent="0.25">
      <c r="G116" s="155" t="s">
        <v>257</v>
      </c>
      <c r="H116" s="228">
        <f>SIGN(H114+0.000000000001)*SIGN(H115+0.000000000001)</f>
        <v>1</v>
      </c>
      <c r="I116" s="228">
        <f t="shared" ref="I116:S116" si="25">SIGN(I114+0.000000000001)*SIGN(I115+0.000000000001)</f>
        <v>1</v>
      </c>
      <c r="J116" s="228">
        <f t="shared" si="25"/>
        <v>1</v>
      </c>
      <c r="K116" s="228">
        <f t="shared" si="25"/>
        <v>1</v>
      </c>
      <c r="L116" s="228">
        <f t="shared" si="25"/>
        <v>1</v>
      </c>
      <c r="M116" s="228">
        <f t="shared" si="25"/>
        <v>1</v>
      </c>
      <c r="N116" s="228">
        <f t="shared" si="25"/>
        <v>1</v>
      </c>
      <c r="O116" s="228">
        <f t="shared" si="25"/>
        <v>1</v>
      </c>
      <c r="P116" s="228">
        <f t="shared" si="25"/>
        <v>1</v>
      </c>
      <c r="Q116" s="228">
        <f t="shared" si="25"/>
        <v>1</v>
      </c>
      <c r="R116" s="228">
        <f t="shared" si="25"/>
        <v>1</v>
      </c>
      <c r="S116" s="228">
        <f t="shared" si="25"/>
        <v>1</v>
      </c>
    </row>
    <row r="117" spans="7:19" x14ac:dyDescent="0.25">
      <c r="G117" s="155" t="s">
        <v>256</v>
      </c>
      <c r="H117" s="229">
        <f>IF(H116*MIN(ABS(H114),ABS(H115))&gt;1,0,H116*MIN(ABS(H114),ABS(H115)))</f>
        <v>0</v>
      </c>
      <c r="I117" s="229">
        <f t="shared" ref="I117:S117" si="26">IF(I116*MIN(ABS(I114),ABS(I115))&gt;1,0,I116*MIN(ABS(I114),ABS(I115)))</f>
        <v>0</v>
      </c>
      <c r="J117" s="229">
        <f t="shared" si="26"/>
        <v>0</v>
      </c>
      <c r="K117" s="229">
        <f t="shared" si="26"/>
        <v>0</v>
      </c>
      <c r="L117" s="229">
        <f t="shared" si="26"/>
        <v>0</v>
      </c>
      <c r="M117" s="229">
        <f t="shared" si="26"/>
        <v>0</v>
      </c>
      <c r="N117" s="229">
        <f t="shared" si="26"/>
        <v>0</v>
      </c>
      <c r="O117" s="229">
        <f t="shared" si="26"/>
        <v>0</v>
      </c>
      <c r="P117" s="229">
        <f t="shared" si="26"/>
        <v>0</v>
      </c>
      <c r="Q117" s="229">
        <f t="shared" si="26"/>
        <v>0</v>
      </c>
      <c r="R117" s="229">
        <f t="shared" si="26"/>
        <v>0</v>
      </c>
      <c r="S117" s="229">
        <f t="shared" si="26"/>
        <v>0</v>
      </c>
    </row>
    <row r="118" spans="7:19" x14ac:dyDescent="0.25">
      <c r="H118" s="102" t="s">
        <v>255</v>
      </c>
      <c r="I118" s="102"/>
      <c r="J118" s="102"/>
      <c r="K118" s="102"/>
      <c r="L118" s="102"/>
      <c r="M118" s="102"/>
      <c r="N118" s="102"/>
      <c r="O118" s="102"/>
      <c r="P118" s="102"/>
      <c r="Q118" s="102"/>
      <c r="R118" s="102"/>
      <c r="S118" s="102"/>
    </row>
    <row r="119" spans="7:19" x14ac:dyDescent="0.25">
      <c r="G119" s="150" t="s">
        <v>258</v>
      </c>
      <c r="H119" s="225">
        <f t="shared" ref="H119:S119" si="27">H55/(H30+0.000001)</f>
        <v>0</v>
      </c>
      <c r="I119" s="225">
        <f t="shared" si="27"/>
        <v>0</v>
      </c>
      <c r="J119" s="225">
        <f t="shared" si="27"/>
        <v>0</v>
      </c>
      <c r="K119" s="225">
        <f t="shared" si="27"/>
        <v>0</v>
      </c>
      <c r="L119" s="225">
        <f t="shared" si="27"/>
        <v>0</v>
      </c>
      <c r="M119" s="225">
        <f t="shared" si="27"/>
        <v>0</v>
      </c>
      <c r="N119" s="225">
        <f t="shared" si="27"/>
        <v>0</v>
      </c>
      <c r="O119" s="225">
        <f t="shared" si="27"/>
        <v>0</v>
      </c>
      <c r="P119" s="225">
        <f t="shared" si="27"/>
        <v>0</v>
      </c>
      <c r="Q119" s="225">
        <f t="shared" si="27"/>
        <v>0</v>
      </c>
      <c r="R119" s="225">
        <f t="shared" si="27"/>
        <v>0</v>
      </c>
      <c r="S119" s="225">
        <f t="shared" si="27"/>
        <v>0</v>
      </c>
    </row>
    <row r="120" spans="7:19" x14ac:dyDescent="0.25">
      <c r="G120" s="150" t="s">
        <v>258</v>
      </c>
      <c r="H120" s="81">
        <f t="shared" ref="H120:S120" si="28">H54/(H31+0.000001)</f>
        <v>0</v>
      </c>
      <c r="I120" s="81">
        <f t="shared" si="28"/>
        <v>0</v>
      </c>
      <c r="J120" s="81">
        <f t="shared" si="28"/>
        <v>0</v>
      </c>
      <c r="K120" s="81">
        <f t="shared" si="28"/>
        <v>0</v>
      </c>
      <c r="L120" s="81">
        <f t="shared" si="28"/>
        <v>0</v>
      </c>
      <c r="M120" s="81">
        <f t="shared" si="28"/>
        <v>0</v>
      </c>
      <c r="N120" s="81">
        <f t="shared" si="28"/>
        <v>0</v>
      </c>
      <c r="O120" s="81">
        <f t="shared" si="28"/>
        <v>0</v>
      </c>
      <c r="P120" s="81">
        <f t="shared" si="28"/>
        <v>0</v>
      </c>
      <c r="Q120" s="81">
        <f t="shared" si="28"/>
        <v>0</v>
      </c>
      <c r="R120" s="81">
        <f t="shared" si="28"/>
        <v>0</v>
      </c>
      <c r="S120" s="81">
        <f t="shared" si="28"/>
        <v>0</v>
      </c>
    </row>
    <row r="121" spans="7:19" x14ac:dyDescent="0.25">
      <c r="G121" s="81" t="s">
        <v>257</v>
      </c>
      <c r="H121" s="144">
        <f>SIGN(H119+0.000000000001)*SIGN(H120+0.000000000001)</f>
        <v>1</v>
      </c>
      <c r="I121" s="144">
        <f t="shared" ref="I121:S121" si="29">SIGN(I119+0.000000000001)*SIGN(I120+0.000000000001)</f>
        <v>1</v>
      </c>
      <c r="J121" s="144">
        <f t="shared" si="29"/>
        <v>1</v>
      </c>
      <c r="K121" s="144">
        <f t="shared" si="29"/>
        <v>1</v>
      </c>
      <c r="L121" s="144">
        <f t="shared" si="29"/>
        <v>1</v>
      </c>
      <c r="M121" s="144">
        <f t="shared" si="29"/>
        <v>1</v>
      </c>
      <c r="N121" s="144">
        <f t="shared" si="29"/>
        <v>1</v>
      </c>
      <c r="O121" s="144">
        <f t="shared" si="29"/>
        <v>1</v>
      </c>
      <c r="P121" s="144">
        <f t="shared" si="29"/>
        <v>1</v>
      </c>
      <c r="Q121" s="144">
        <f t="shared" si="29"/>
        <v>1</v>
      </c>
      <c r="R121" s="144">
        <f t="shared" si="29"/>
        <v>1</v>
      </c>
      <c r="S121" s="144">
        <f t="shared" si="29"/>
        <v>1</v>
      </c>
    </row>
    <row r="122" spans="7:19" x14ac:dyDescent="0.25">
      <c r="G122" s="81" t="s">
        <v>256</v>
      </c>
      <c r="H122" s="225">
        <f>IF(H121*MIN(ABS(H119),ABS(H120))&gt;1,0,H121*MIN(ABS(H119),ABS(H120)))</f>
        <v>0</v>
      </c>
      <c r="I122" s="225">
        <f t="shared" ref="I122:S122" si="30">IF(I121*MIN(ABS(I119),ABS(I120))&gt;1,0,I121*MIN(ABS(I119),ABS(I120)))</f>
        <v>0</v>
      </c>
      <c r="J122" s="225">
        <f t="shared" si="30"/>
        <v>0</v>
      </c>
      <c r="K122" s="225">
        <f t="shared" si="30"/>
        <v>0</v>
      </c>
      <c r="L122" s="225">
        <f t="shared" si="30"/>
        <v>0</v>
      </c>
      <c r="M122" s="225">
        <f t="shared" si="30"/>
        <v>0</v>
      </c>
      <c r="N122" s="225">
        <f t="shared" si="30"/>
        <v>0</v>
      </c>
      <c r="O122" s="225">
        <f t="shared" si="30"/>
        <v>0</v>
      </c>
      <c r="P122" s="225">
        <f t="shared" si="30"/>
        <v>0</v>
      </c>
      <c r="Q122" s="225">
        <f t="shared" si="30"/>
        <v>0</v>
      </c>
      <c r="R122" s="225">
        <f t="shared" si="30"/>
        <v>0</v>
      </c>
      <c r="S122" s="225">
        <f t="shared" si="30"/>
        <v>0</v>
      </c>
    </row>
    <row r="123" spans="7:19" x14ac:dyDescent="0.25">
      <c r="G123" s="150"/>
    </row>
    <row r="124" spans="7:19" x14ac:dyDescent="0.25">
      <c r="H124" s="144"/>
      <c r="I124" s="144"/>
      <c r="J124" s="144"/>
      <c r="K124" s="144"/>
      <c r="L124" s="144"/>
      <c r="M124" s="144"/>
      <c r="N124" s="144"/>
      <c r="O124" s="144"/>
      <c r="P124" s="144"/>
      <c r="Q124" s="144"/>
      <c r="R124" s="144"/>
      <c r="S124" s="144"/>
    </row>
    <row r="125" spans="7:19" x14ac:dyDescent="0.25">
      <c r="H125" s="225"/>
      <c r="I125" s="225"/>
      <c r="J125" s="225"/>
      <c r="K125" s="225"/>
      <c r="L125" s="225"/>
      <c r="M125" s="225"/>
      <c r="N125" s="225"/>
      <c r="O125" s="225"/>
      <c r="P125" s="225"/>
      <c r="Q125" s="225"/>
      <c r="R125" s="225"/>
      <c r="S125" s="225"/>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r:id="rId1"/>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
  <sheetViews>
    <sheetView zoomScale="75" zoomScaleNormal="75" zoomScalePageLayoutView="75" workbookViewId="0">
      <selection activeCell="J8" sqref="J8"/>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6" t="str">
        <f>'CSs and Loads'!A177</f>
        <v>CS 6</v>
      </c>
      <c r="B1" s="206" t="str">
        <f>'CSs and Loads'!A187</f>
        <v>X-axis</v>
      </c>
    </row>
    <row r="2" spans="1:18" ht="16.5" thickBot="1" x14ac:dyDescent="0.3">
      <c r="A2" s="82" t="s">
        <v>132</v>
      </c>
      <c r="E2" s="177"/>
      <c r="F2" s="177"/>
      <c r="G2" s="177"/>
      <c r="H2" s="177"/>
      <c r="I2" s="243"/>
      <c r="J2" s="177"/>
      <c r="K2" s="177"/>
      <c r="L2" s="244"/>
      <c r="M2" s="244"/>
      <c r="N2" s="208"/>
    </row>
    <row r="3" spans="1:18" x14ac:dyDescent="0.25">
      <c r="A3" s="209" t="s">
        <v>111</v>
      </c>
      <c r="D3" s="242"/>
      <c r="E3" s="368" t="s">
        <v>368</v>
      </c>
      <c r="F3" s="369"/>
      <c r="G3" s="369"/>
      <c r="H3" s="369"/>
      <c r="I3" s="369"/>
      <c r="J3" s="369"/>
      <c r="K3" s="369"/>
      <c r="L3" s="369"/>
      <c r="M3" s="370"/>
      <c r="N3" s="183"/>
      <c r="O3" s="210"/>
      <c r="P3" s="210"/>
      <c r="Q3" s="210"/>
      <c r="R3" s="210"/>
    </row>
    <row r="4" spans="1:18" x14ac:dyDescent="0.25">
      <c r="A4" s="82" t="s">
        <v>319</v>
      </c>
      <c r="B4" s="179" t="s">
        <v>344</v>
      </c>
      <c r="C4" s="82" t="s">
        <v>365</v>
      </c>
      <c r="D4" s="170"/>
      <c r="E4" s="377" t="s">
        <v>346</v>
      </c>
      <c r="F4" s="378"/>
      <c r="G4" s="378"/>
      <c r="H4" s="378"/>
      <c r="I4" s="378"/>
      <c r="J4" s="378"/>
      <c r="K4" s="378"/>
      <c r="L4" s="378"/>
      <c r="M4" s="379"/>
      <c r="N4" s="183"/>
      <c r="O4" s="150"/>
      <c r="R4" s="210"/>
    </row>
    <row r="5" spans="1:18" x14ac:dyDescent="0.25">
      <c r="A5" s="114" t="s">
        <v>335</v>
      </c>
      <c r="B5" s="118" t="s">
        <v>310</v>
      </c>
      <c r="C5" s="102" t="s">
        <v>363</v>
      </c>
      <c r="D5" s="170">
        <v>25</v>
      </c>
      <c r="E5" s="184" t="s">
        <v>282</v>
      </c>
      <c r="F5" s="353" t="s">
        <v>285</v>
      </c>
      <c r="G5" s="157">
        <f>(1/2)*B11^3/(3*B7*B18)</f>
        <v>7.0459646551228115E-6</v>
      </c>
      <c r="H5" s="155">
        <v>0</v>
      </c>
      <c r="I5" s="155">
        <v>0</v>
      </c>
      <c r="J5" s="155">
        <v>0</v>
      </c>
      <c r="K5" s="156">
        <f>G9</f>
        <v>-1.5098495689548882E-8</v>
      </c>
      <c r="L5" s="155">
        <v>0</v>
      </c>
      <c r="M5" s="185" t="s">
        <v>276</v>
      </c>
      <c r="N5" s="205"/>
      <c r="O5" s="211"/>
      <c r="P5" s="211"/>
      <c r="Q5" s="211"/>
      <c r="R5" s="210"/>
    </row>
    <row r="6" spans="1:18" x14ac:dyDescent="0.25">
      <c r="A6" s="114" t="s">
        <v>338</v>
      </c>
      <c r="B6" s="118" t="s">
        <v>286</v>
      </c>
      <c r="C6" s="102" t="s">
        <v>32</v>
      </c>
      <c r="D6" s="170">
        <f>1770*9.8</f>
        <v>17346</v>
      </c>
      <c r="E6" s="184" t="s">
        <v>283</v>
      </c>
      <c r="F6" s="353"/>
      <c r="G6" s="155">
        <v>0</v>
      </c>
      <c r="H6" s="156">
        <f>(1/2)*B11^3/(3*B7*B17)</f>
        <v>7.0459646551228115E-6</v>
      </c>
      <c r="I6" s="155">
        <v>0</v>
      </c>
      <c r="J6" s="156">
        <f>-(1/2)*B11^2/(2*B7*B17)</f>
        <v>-1.5098495689548882E-8</v>
      </c>
      <c r="K6" s="155">
        <v>0</v>
      </c>
      <c r="L6" s="155">
        <v>0</v>
      </c>
      <c r="M6" s="185" t="s">
        <v>277</v>
      </c>
      <c r="N6" s="183"/>
      <c r="R6" s="210"/>
    </row>
    <row r="7" spans="1:18" x14ac:dyDescent="0.25">
      <c r="A7" s="102" t="s">
        <v>291</v>
      </c>
      <c r="B7" s="82">
        <f>69000</f>
        <v>69000</v>
      </c>
      <c r="C7" s="102" t="s">
        <v>242</v>
      </c>
      <c r="D7" s="170">
        <f>647*1000</f>
        <v>647000</v>
      </c>
      <c r="E7" s="184" t="s">
        <v>284</v>
      </c>
      <c r="F7" s="353"/>
      <c r="G7" s="155">
        <v>0</v>
      </c>
      <c r="H7" s="155">
        <v>0</v>
      </c>
      <c r="I7" s="156">
        <f>(1/2)*B12/(B16*B7)</f>
        <v>2.6207781884162787E-7</v>
      </c>
      <c r="J7" s="155">
        <v>0</v>
      </c>
      <c r="K7" s="155">
        <v>0</v>
      </c>
      <c r="L7" s="155">
        <v>0</v>
      </c>
      <c r="M7" s="185" t="s">
        <v>278</v>
      </c>
      <c r="N7" s="183"/>
      <c r="R7" s="210"/>
    </row>
    <row r="8" spans="1:18" x14ac:dyDescent="0.25">
      <c r="A8" s="102" t="s">
        <v>287</v>
      </c>
      <c r="B8" s="82">
        <v>0.33400000000000002</v>
      </c>
      <c r="C8" s="102" t="s">
        <v>33</v>
      </c>
      <c r="D8" s="170">
        <v>3</v>
      </c>
      <c r="E8" s="184" t="s">
        <v>273</v>
      </c>
      <c r="F8" s="353"/>
      <c r="G8" s="149"/>
      <c r="H8" s="156">
        <f>J6</f>
        <v>-1.5098495689548882E-8</v>
      </c>
      <c r="I8" s="155">
        <v>0</v>
      </c>
      <c r="J8" s="156">
        <f>2*I7/'CS_5 Workpiece'!B12^2</f>
        <v>1.4559878824534882E-8</v>
      </c>
      <c r="K8" s="155">
        <v>0</v>
      </c>
      <c r="L8" s="155">
        <v>0</v>
      </c>
      <c r="M8" s="185" t="s">
        <v>279</v>
      </c>
      <c r="N8" s="183"/>
      <c r="R8" s="210"/>
    </row>
    <row r="9" spans="1:18" x14ac:dyDescent="0.25">
      <c r="A9" s="102" t="s">
        <v>292</v>
      </c>
      <c r="B9" s="98">
        <f>B7/(2*(1+B8))</f>
        <v>25862.068965517239</v>
      </c>
      <c r="C9" s="102" t="s">
        <v>34</v>
      </c>
      <c r="D9" s="170">
        <v>0.01</v>
      </c>
      <c r="E9" s="184" t="s">
        <v>275</v>
      </c>
      <c r="F9" s="353"/>
      <c r="G9" s="156">
        <f>-(1/2)*B11^2/(2*B7*B18)</f>
        <v>-1.5098495689548882E-8</v>
      </c>
      <c r="H9" s="155">
        <v>0</v>
      </c>
      <c r="I9" s="155">
        <v>0</v>
      </c>
      <c r="J9" s="155">
        <v>0</v>
      </c>
      <c r="K9" s="156">
        <f>(1/2)*B11/(B7*B18)</f>
        <v>4.3138559112996808E-11</v>
      </c>
      <c r="L9" s="155">
        <v>0</v>
      </c>
      <c r="M9" s="185" t="s">
        <v>280</v>
      </c>
      <c r="N9" s="183"/>
      <c r="R9" s="210"/>
    </row>
    <row r="10" spans="1:18" ht="16.5" thickBot="1" x14ac:dyDescent="0.3">
      <c r="A10" s="81" t="s">
        <v>339</v>
      </c>
      <c r="B10" s="82"/>
      <c r="C10" s="102" t="s">
        <v>288</v>
      </c>
      <c r="D10" s="238">
        <f>D6/(D8*D9)</f>
        <v>578200</v>
      </c>
      <c r="E10" s="186" t="s">
        <v>274</v>
      </c>
      <c r="F10" s="381"/>
      <c r="G10" s="195">
        <v>0</v>
      </c>
      <c r="H10" s="195">
        <v>0</v>
      </c>
      <c r="I10" s="195">
        <v>0</v>
      </c>
      <c r="J10" s="195">
        <v>0</v>
      </c>
      <c r="K10" s="195">
        <v>0</v>
      </c>
      <c r="L10" s="196">
        <f>1/(1/(2*G5/'CS_5 Workpiece'!B12^2)+1/(B11/(B19*B9)))</f>
        <v>1.5407959818453501E-10</v>
      </c>
      <c r="M10" s="189" t="s">
        <v>281</v>
      </c>
      <c r="N10" s="183"/>
      <c r="R10" s="210"/>
    </row>
    <row r="11" spans="1:18" x14ac:dyDescent="0.25">
      <c r="A11" s="150" t="s">
        <v>342</v>
      </c>
      <c r="B11" s="141">
        <f>B12</f>
        <v>700</v>
      </c>
      <c r="C11" s="102" t="s">
        <v>35</v>
      </c>
      <c r="D11" s="82">
        <v>25</v>
      </c>
      <c r="E11" s="164"/>
      <c r="F11" s="245"/>
      <c r="G11" s="164"/>
      <c r="H11" s="164"/>
      <c r="I11" s="164"/>
      <c r="J11" s="164"/>
      <c r="K11" s="164"/>
      <c r="L11" s="164"/>
      <c r="M11" s="164"/>
      <c r="R11" s="210"/>
    </row>
    <row r="12" spans="1:18" x14ac:dyDescent="0.25">
      <c r="A12" s="102" t="s">
        <v>233</v>
      </c>
      <c r="B12" s="82">
        <v>700</v>
      </c>
      <c r="C12" s="102" t="s">
        <v>375</v>
      </c>
      <c r="D12" s="101">
        <f>D7*D11^2/4</f>
        <v>101093750</v>
      </c>
      <c r="I12" s="82"/>
      <c r="O12" s="150"/>
      <c r="R12" s="210"/>
    </row>
    <row r="13" spans="1:18" x14ac:dyDescent="0.25">
      <c r="A13" s="102" t="s">
        <v>352</v>
      </c>
      <c r="B13" s="82">
        <f>8*25.4</f>
        <v>203.2</v>
      </c>
      <c r="C13" s="102" t="s">
        <v>289</v>
      </c>
      <c r="D13" s="101">
        <f>D7*D11^2/12</f>
        <v>33697916.666666664</v>
      </c>
      <c r="I13" s="82"/>
      <c r="O13" s="150"/>
      <c r="R13" s="210"/>
    </row>
    <row r="14" spans="1:18" x14ac:dyDescent="0.25">
      <c r="A14" s="102" t="s">
        <v>353</v>
      </c>
      <c r="B14" s="82">
        <f>8*25.4</f>
        <v>203.2</v>
      </c>
      <c r="C14" s="102" t="s">
        <v>290</v>
      </c>
      <c r="D14" s="98">
        <f>D13</f>
        <v>33697916.666666664</v>
      </c>
      <c r="I14" s="82"/>
      <c r="O14" s="150"/>
      <c r="R14" s="210"/>
    </row>
    <row r="15" spans="1:18" x14ac:dyDescent="0.25">
      <c r="A15" s="102" t="s">
        <v>271</v>
      </c>
      <c r="B15" s="82">
        <f>0.5*25.4</f>
        <v>12.7</v>
      </c>
      <c r="C15" s="114" t="s">
        <v>364</v>
      </c>
      <c r="I15" s="82"/>
      <c r="O15" s="150"/>
      <c r="R15" s="210"/>
    </row>
    <row r="16" spans="1:18" x14ac:dyDescent="0.25">
      <c r="A16" s="102" t="s">
        <v>272</v>
      </c>
      <c r="B16" s="98">
        <f>2*(B13*B14-(B13-2*B15)*(B14-2*B15))</f>
        <v>19354.80000000001</v>
      </c>
      <c r="C16" s="115" t="s">
        <v>267</v>
      </c>
      <c r="D16" s="118" t="s">
        <v>316</v>
      </c>
      <c r="I16" s="82"/>
      <c r="O16" s="150"/>
      <c r="R16" s="210"/>
    </row>
    <row r="17" spans="1:19" x14ac:dyDescent="0.25">
      <c r="A17" s="102" t="s">
        <v>314</v>
      </c>
      <c r="B17" s="99">
        <f>2*(B14^3*B13-(B13-2*B15)*(B14-2*B15)^3)/12</f>
        <v>117585377.73200004</v>
      </c>
      <c r="C17" s="116" t="s">
        <v>269</v>
      </c>
      <c r="D17" s="82">
        <v>25</v>
      </c>
      <c r="I17" s="82"/>
      <c r="O17" s="150"/>
      <c r="R17" s="210"/>
    </row>
    <row r="18" spans="1:19" x14ac:dyDescent="0.25">
      <c r="A18" s="102" t="s">
        <v>315</v>
      </c>
      <c r="B18" s="99">
        <f>2*(B14*B13^3-(B13-2*B15)^3*(B14-2*B15))/12</f>
        <v>117585377.73200004</v>
      </c>
      <c r="C18" s="116" t="s">
        <v>233</v>
      </c>
      <c r="D18" s="82">
        <v>2500</v>
      </c>
      <c r="I18" s="82"/>
      <c r="O18" s="150"/>
      <c r="R18" s="210"/>
    </row>
    <row r="19" spans="1:19" x14ac:dyDescent="0.25">
      <c r="A19" s="102" t="s">
        <v>235</v>
      </c>
      <c r="B19" s="99">
        <f>2*(2*B15*B15*(B13-B15)^2*(B14-B15)^2/(B13*B15+B14*B15-2*B15^2))</f>
        <v>175597632.67500001</v>
      </c>
      <c r="C19" s="102" t="s">
        <v>54</v>
      </c>
      <c r="D19" s="117">
        <v>200000</v>
      </c>
      <c r="I19" s="82"/>
      <c r="O19" s="150"/>
      <c r="R19" s="210"/>
    </row>
    <row r="20" spans="1:19" x14ac:dyDescent="0.25">
      <c r="A20" s="102" t="s">
        <v>333</v>
      </c>
      <c r="B20" s="98">
        <f>B18/B16</f>
        <v>6075.2566666666653</v>
      </c>
      <c r="C20" s="116" t="s">
        <v>268</v>
      </c>
      <c r="D20" s="99">
        <f>PI()*D17^2/4*D19/D18</f>
        <v>39269.908169872419</v>
      </c>
      <c r="I20" s="82"/>
      <c r="O20" s="150"/>
      <c r="R20" s="210"/>
    </row>
    <row r="21" spans="1:19" ht="16.5" thickBot="1" x14ac:dyDescent="0.3">
      <c r="A21" s="240" t="s">
        <v>313</v>
      </c>
      <c r="B21" s="246">
        <f>3*B7*B18/B12^3</f>
        <v>70962.60405400586</v>
      </c>
      <c r="C21" s="240" t="s">
        <v>318</v>
      </c>
      <c r="D21" s="230">
        <v>3</v>
      </c>
      <c r="E21" s="177"/>
      <c r="F21" s="177"/>
      <c r="G21" s="177"/>
      <c r="H21" s="177"/>
      <c r="I21" s="230"/>
      <c r="J21" s="177"/>
      <c r="K21" s="177"/>
      <c r="L21" s="177"/>
      <c r="M21" s="177"/>
      <c r="O21" s="150"/>
      <c r="R21" s="210"/>
    </row>
    <row r="22" spans="1:19" ht="16.5" thickBot="1" x14ac:dyDescent="0.3">
      <c r="A22" s="391" t="s">
        <v>369</v>
      </c>
      <c r="B22" s="392"/>
      <c r="C22" s="392"/>
      <c r="D22" s="392"/>
      <c r="E22" s="392"/>
      <c r="F22" s="392"/>
      <c r="G22" s="392"/>
      <c r="H22" s="392"/>
      <c r="I22" s="392"/>
      <c r="J22" s="392"/>
      <c r="K22" s="392"/>
      <c r="L22" s="392"/>
      <c r="M22" s="393"/>
      <c r="N22" s="183"/>
      <c r="O22" s="150"/>
      <c r="R22" s="210"/>
    </row>
    <row r="23" spans="1:19" ht="31.5" x14ac:dyDescent="0.25">
      <c r="A23" s="276" t="s">
        <v>370</v>
      </c>
      <c r="B23" s="233"/>
      <c r="C23" s="241" t="s">
        <v>265</v>
      </c>
      <c r="D23" s="164"/>
      <c r="E23" s="164"/>
      <c r="F23" s="164"/>
      <c r="G23" s="164"/>
      <c r="H23" s="164"/>
      <c r="I23" s="163"/>
      <c r="J23" s="164"/>
      <c r="K23" s="164"/>
      <c r="L23" s="164"/>
      <c r="M23" s="164"/>
      <c r="O23" s="150"/>
      <c r="R23" s="210"/>
    </row>
    <row r="24" spans="1:19" x14ac:dyDescent="0.25">
      <c r="A24" s="102" t="s">
        <v>3</v>
      </c>
      <c r="B24" s="107"/>
      <c r="C24" s="155"/>
      <c r="O24" s="210"/>
      <c r="P24" s="210"/>
      <c r="Q24" s="210"/>
      <c r="R24" s="210"/>
    </row>
    <row r="25" spans="1:19" x14ac:dyDescent="0.25">
      <c r="A25" s="218" t="s">
        <v>117</v>
      </c>
      <c r="B25" s="153">
        <f>SUM(H35:S35)+C25</f>
        <v>13089.969389957472</v>
      </c>
      <c r="C25" s="237">
        <f>D20/D21</f>
        <v>13089.969389957472</v>
      </c>
      <c r="O25" s="210"/>
      <c r="P25" s="210"/>
      <c r="Q25" s="210"/>
      <c r="R25" s="210"/>
    </row>
    <row r="26" spans="1:19" x14ac:dyDescent="0.25">
      <c r="A26" s="218" t="s">
        <v>118</v>
      </c>
      <c r="B26" s="153">
        <f>SUM(H36:S36)+C26</f>
        <v>2588000</v>
      </c>
      <c r="C26" s="219">
        <v>0</v>
      </c>
      <c r="G26" s="243" t="s">
        <v>184</v>
      </c>
      <c r="O26" s="210"/>
      <c r="P26" s="210"/>
      <c r="Q26" s="210"/>
      <c r="R26" s="210"/>
    </row>
    <row r="27" spans="1:19" x14ac:dyDescent="0.25">
      <c r="A27" s="218" t="s">
        <v>119</v>
      </c>
      <c r="B27" s="153">
        <f>SUM(H37:S37)+C27</f>
        <v>2588000</v>
      </c>
      <c r="C27" s="219">
        <v>0</v>
      </c>
      <c r="G27" s="82" t="s">
        <v>124</v>
      </c>
      <c r="O27" s="210"/>
      <c r="P27" s="210"/>
      <c r="Q27" s="210"/>
      <c r="R27" s="210"/>
    </row>
    <row r="28" spans="1:19" x14ac:dyDescent="0.25">
      <c r="A28" s="102" t="s">
        <v>115</v>
      </c>
      <c r="B28" s="107"/>
      <c r="C28" s="200"/>
      <c r="D28" s="88"/>
      <c r="E28" s="88"/>
      <c r="F28" s="88"/>
      <c r="G28" s="213" t="s">
        <v>133</v>
      </c>
      <c r="H28" s="214">
        <v>4</v>
      </c>
      <c r="O28" s="210"/>
      <c r="P28" s="210"/>
      <c r="Q28" s="210"/>
      <c r="R28" s="210"/>
    </row>
    <row r="29" spans="1:19" x14ac:dyDescent="0.25">
      <c r="A29" s="218" t="s">
        <v>8</v>
      </c>
      <c r="B29" s="153">
        <f>SUM(H39:S39)+SUM(H43:S43)+C29</f>
        <v>6874375000</v>
      </c>
      <c r="C29" s="219">
        <v>0</v>
      </c>
      <c r="D29" s="88"/>
      <c r="E29" s="88"/>
      <c r="F29" s="88"/>
      <c r="H29" s="365" t="s">
        <v>129</v>
      </c>
      <c r="I29" s="365"/>
      <c r="J29" s="365"/>
      <c r="K29" s="365"/>
      <c r="L29" s="365"/>
      <c r="M29" s="365"/>
      <c r="N29" s="365"/>
      <c r="O29" s="365"/>
      <c r="P29" s="365"/>
      <c r="Q29" s="365"/>
      <c r="R29" s="365"/>
      <c r="S29" s="365"/>
    </row>
    <row r="30" spans="1:19" x14ac:dyDescent="0.25">
      <c r="A30" s="218" t="s">
        <v>120</v>
      </c>
      <c r="B30" s="153">
        <f>SUM(H40:S40)+SUM(H44:S44)+C30</f>
        <v>6604791666.666667</v>
      </c>
      <c r="C30" s="219">
        <v>0</v>
      </c>
      <c r="D30" s="88"/>
      <c r="E30" s="88"/>
      <c r="F30" s="88"/>
      <c r="G30" s="82" t="s">
        <v>114</v>
      </c>
      <c r="H30" s="87">
        <v>1</v>
      </c>
      <c r="I30" s="87">
        <f>H30+1</f>
        <v>2</v>
      </c>
      <c r="J30" s="87">
        <f t="shared" ref="J30:R30" si="0">I30+1</f>
        <v>3</v>
      </c>
      <c r="K30" s="87">
        <f t="shared" si="0"/>
        <v>4</v>
      </c>
      <c r="L30" s="87">
        <f t="shared" si="0"/>
        <v>5</v>
      </c>
      <c r="M30" s="87">
        <f t="shared" si="0"/>
        <v>6</v>
      </c>
      <c r="N30" s="87">
        <f t="shared" si="0"/>
        <v>7</v>
      </c>
      <c r="O30" s="87">
        <f t="shared" si="0"/>
        <v>8</v>
      </c>
      <c r="P30" s="87">
        <f>O30+1</f>
        <v>9</v>
      </c>
      <c r="Q30" s="87">
        <f t="shared" si="0"/>
        <v>10</v>
      </c>
      <c r="R30" s="87">
        <f t="shared" si="0"/>
        <v>11</v>
      </c>
      <c r="S30" s="87">
        <f>R30+1</f>
        <v>12</v>
      </c>
    </row>
    <row r="31" spans="1:19" x14ac:dyDescent="0.25">
      <c r="A31" s="218" t="s">
        <v>116</v>
      </c>
      <c r="B31" s="153">
        <f>SUM(H41:S41)+SUM(H45:S45)+C31</f>
        <v>6604791666.666667</v>
      </c>
      <c r="C31" s="219">
        <v>0</v>
      </c>
      <c r="D31" s="88"/>
      <c r="E31" s="88"/>
      <c r="F31" s="88"/>
      <c r="G31" s="102" t="s">
        <v>42</v>
      </c>
      <c r="H31" s="214">
        <v>50</v>
      </c>
      <c r="I31" s="214">
        <v>-50</v>
      </c>
      <c r="J31" s="214">
        <v>-50</v>
      </c>
      <c r="K31" s="214">
        <v>50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43</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D33" s="88"/>
      <c r="E33" s="88"/>
      <c r="F33" s="88"/>
      <c r="G33" s="102" t="s">
        <v>44</v>
      </c>
      <c r="H33" s="214">
        <v>50</v>
      </c>
      <c r="I33" s="214">
        <v>50</v>
      </c>
      <c r="J33" s="214">
        <v>-50</v>
      </c>
      <c r="K33" s="214">
        <v>-50</v>
      </c>
      <c r="L33" s="214">
        <v>0</v>
      </c>
      <c r="M33" s="214">
        <v>0</v>
      </c>
      <c r="N33" s="214">
        <v>0</v>
      </c>
      <c r="O33" s="214">
        <v>0</v>
      </c>
      <c r="P33" s="214">
        <v>0</v>
      </c>
      <c r="Q33" s="214">
        <v>0</v>
      </c>
      <c r="R33" s="214">
        <v>0</v>
      </c>
      <c r="S33" s="214">
        <v>0</v>
      </c>
    </row>
    <row r="34" spans="1:19" x14ac:dyDescent="0.25">
      <c r="A34" s="366"/>
      <c r="B34" s="366"/>
      <c r="C34" s="366"/>
      <c r="G34" s="82" t="s">
        <v>130</v>
      </c>
      <c r="H34" s="367"/>
      <c r="I34" s="367"/>
      <c r="J34" s="367"/>
      <c r="K34" s="367"/>
    </row>
    <row r="35" spans="1:19" x14ac:dyDescent="0.25">
      <c r="A35" s="221" t="s">
        <v>185</v>
      </c>
      <c r="B35" s="214"/>
      <c r="C35" s="214"/>
      <c r="D35" s="88"/>
      <c r="E35" s="88"/>
      <c r="F35" s="88"/>
      <c r="G35" s="102" t="s">
        <v>117</v>
      </c>
      <c r="H35" s="142">
        <v>0</v>
      </c>
      <c r="I35" s="142">
        <v>0</v>
      </c>
      <c r="J35" s="142">
        <v>0</v>
      </c>
      <c r="K35" s="142">
        <v>0</v>
      </c>
      <c r="L35" s="214">
        <v>0</v>
      </c>
      <c r="M35" s="214">
        <v>0</v>
      </c>
      <c r="N35" s="214">
        <v>0</v>
      </c>
      <c r="O35" s="214">
        <v>0</v>
      </c>
      <c r="P35" s="214">
        <v>0</v>
      </c>
      <c r="Q35" s="214">
        <v>0</v>
      </c>
      <c r="R35" s="214">
        <v>0</v>
      </c>
      <c r="S35" s="214">
        <v>0</v>
      </c>
    </row>
    <row r="36" spans="1:19" x14ac:dyDescent="0.25">
      <c r="A36" s="81" t="s">
        <v>109</v>
      </c>
      <c r="D36" s="88"/>
      <c r="E36" s="88"/>
      <c r="F36" s="88"/>
      <c r="G36" s="102" t="s">
        <v>118</v>
      </c>
      <c r="H36" s="142">
        <f>'ref bearings, servo, structure'!B5</f>
        <v>647000</v>
      </c>
      <c r="I36" s="142">
        <f>H36</f>
        <v>647000</v>
      </c>
      <c r="J36" s="142">
        <f t="shared" ref="J36:K36" si="1">I36</f>
        <v>647000</v>
      </c>
      <c r="K36" s="142">
        <f t="shared" si="1"/>
        <v>647000</v>
      </c>
      <c r="L36" s="214">
        <v>0</v>
      </c>
      <c r="M36" s="214">
        <v>0</v>
      </c>
      <c r="N36" s="214">
        <v>0</v>
      </c>
      <c r="O36" s="214">
        <v>0</v>
      </c>
      <c r="P36" s="214">
        <v>0</v>
      </c>
      <c r="Q36" s="214">
        <v>0</v>
      </c>
      <c r="R36" s="214">
        <v>0</v>
      </c>
      <c r="S36" s="214">
        <v>0</v>
      </c>
    </row>
    <row r="37" spans="1:19" x14ac:dyDescent="0.25">
      <c r="A37" s="102" t="s">
        <v>186</v>
      </c>
      <c r="B37" s="214">
        <v>0</v>
      </c>
      <c r="D37" s="88"/>
      <c r="E37" s="88"/>
      <c r="F37" s="88"/>
      <c r="G37" s="102" t="s">
        <v>119</v>
      </c>
      <c r="H37" s="142">
        <f>H36</f>
        <v>647000</v>
      </c>
      <c r="I37" s="142">
        <f t="shared" ref="I37:K37" si="2">I36</f>
        <v>647000</v>
      </c>
      <c r="J37" s="142">
        <f t="shared" si="2"/>
        <v>647000</v>
      </c>
      <c r="K37" s="142">
        <f t="shared" si="2"/>
        <v>647000</v>
      </c>
      <c r="L37" s="214">
        <v>0</v>
      </c>
      <c r="M37" s="214">
        <v>0</v>
      </c>
      <c r="N37" s="214">
        <v>0</v>
      </c>
      <c r="O37" s="214">
        <v>0</v>
      </c>
      <c r="P37" s="214">
        <v>0</v>
      </c>
      <c r="Q37" s="214">
        <v>0</v>
      </c>
      <c r="R37" s="214">
        <v>0</v>
      </c>
      <c r="S37" s="214">
        <v>0</v>
      </c>
    </row>
    <row r="38" spans="1:19" x14ac:dyDescent="0.25">
      <c r="A38" s="102" t="s">
        <v>187</v>
      </c>
      <c r="B38" s="214">
        <v>0</v>
      </c>
      <c r="D38" s="88"/>
      <c r="E38" s="88"/>
      <c r="F38" s="88"/>
      <c r="G38" s="82" t="s">
        <v>131</v>
      </c>
      <c r="H38" s="367"/>
      <c r="I38" s="367"/>
      <c r="J38" s="367"/>
      <c r="K38" s="367"/>
    </row>
    <row r="39" spans="1:19" x14ac:dyDescent="0.25">
      <c r="A39" s="102" t="s">
        <v>188</v>
      </c>
      <c r="B39" s="214">
        <v>0</v>
      </c>
      <c r="D39" s="88"/>
      <c r="E39" s="88"/>
      <c r="F39" s="88"/>
      <c r="G39" s="102" t="s">
        <v>8</v>
      </c>
      <c r="H39" s="142">
        <f>'ref bearings, servo, structure'!B10</f>
        <v>101093750</v>
      </c>
      <c r="I39" s="142">
        <f>H39</f>
        <v>101093750</v>
      </c>
      <c r="J39" s="142">
        <f t="shared" ref="J39:K39" si="3">I39</f>
        <v>101093750</v>
      </c>
      <c r="K39" s="142">
        <f t="shared" si="3"/>
        <v>101093750</v>
      </c>
      <c r="L39" s="214">
        <v>0</v>
      </c>
      <c r="M39" s="214">
        <v>0</v>
      </c>
      <c r="N39" s="214">
        <v>0</v>
      </c>
      <c r="O39" s="214">
        <v>0</v>
      </c>
      <c r="P39" s="214">
        <v>0</v>
      </c>
      <c r="Q39" s="214">
        <v>0</v>
      </c>
      <c r="R39" s="214">
        <v>0</v>
      </c>
      <c r="S39" s="214">
        <v>0</v>
      </c>
    </row>
    <row r="40" spans="1:19" x14ac:dyDescent="0.25">
      <c r="A40" s="150" t="s">
        <v>110</v>
      </c>
      <c r="D40" s="88"/>
      <c r="E40" s="88"/>
      <c r="F40" s="88"/>
      <c r="G40" s="102" t="s">
        <v>120</v>
      </c>
      <c r="H40" s="142">
        <f>'ref bearings, servo, structure'!B12</f>
        <v>33697916.666666664</v>
      </c>
      <c r="I40" s="142">
        <f t="shared" ref="I40:K41" si="4">H40</f>
        <v>33697916.666666664</v>
      </c>
      <c r="J40" s="142">
        <f t="shared" si="4"/>
        <v>33697916.666666664</v>
      </c>
      <c r="K40" s="142">
        <f t="shared" si="4"/>
        <v>33697916.666666664</v>
      </c>
      <c r="L40" s="214">
        <v>0</v>
      </c>
      <c r="M40" s="214">
        <v>0</v>
      </c>
      <c r="N40" s="214">
        <v>0</v>
      </c>
      <c r="O40" s="214">
        <v>0</v>
      </c>
      <c r="P40" s="214">
        <v>0</v>
      </c>
      <c r="Q40" s="214">
        <v>0</v>
      </c>
      <c r="R40" s="214">
        <v>0</v>
      </c>
      <c r="S40" s="214">
        <v>0</v>
      </c>
    </row>
    <row r="41" spans="1:19" x14ac:dyDescent="0.25">
      <c r="A41" s="102" t="s">
        <v>186</v>
      </c>
      <c r="B41" s="214">
        <v>0</v>
      </c>
      <c r="G41" s="102" t="s">
        <v>116</v>
      </c>
      <c r="H41" s="142">
        <f>'ref bearings, servo, structure'!B11</f>
        <v>33697916.666666664</v>
      </c>
      <c r="I41" s="142">
        <f t="shared" si="4"/>
        <v>33697916.666666664</v>
      </c>
      <c r="J41" s="142">
        <f t="shared" si="4"/>
        <v>33697916.666666664</v>
      </c>
      <c r="K41" s="142">
        <f t="shared" si="4"/>
        <v>33697916.666666664</v>
      </c>
      <c r="L41" s="214">
        <v>0</v>
      </c>
      <c r="M41" s="214">
        <v>0</v>
      </c>
      <c r="N41" s="214">
        <v>0</v>
      </c>
      <c r="O41" s="214">
        <v>0</v>
      </c>
      <c r="P41" s="214">
        <v>0</v>
      </c>
      <c r="Q41" s="214">
        <v>0</v>
      </c>
      <c r="R41" s="214">
        <v>0</v>
      </c>
      <c r="S41" s="214">
        <v>0</v>
      </c>
    </row>
    <row r="42" spans="1:19" x14ac:dyDescent="0.25">
      <c r="A42" s="102" t="s">
        <v>187</v>
      </c>
      <c r="B42" s="214">
        <v>0</v>
      </c>
      <c r="D42" s="217"/>
      <c r="E42" s="217"/>
      <c r="F42" s="217"/>
      <c r="G42" s="82" t="s">
        <v>125</v>
      </c>
    </row>
    <row r="43" spans="1:19" x14ac:dyDescent="0.25">
      <c r="A43" s="102" t="s">
        <v>188</v>
      </c>
      <c r="B43" s="214">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5" t="s">
        <v>206</v>
      </c>
      <c r="C44" s="88"/>
      <c r="D44" s="219"/>
      <c r="E44" s="219"/>
      <c r="F44" s="219"/>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8"/>
      <c r="D45" s="219"/>
      <c r="E45" s="219"/>
      <c r="F45" s="219"/>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8"/>
      <c r="D46" s="219"/>
      <c r="E46" s="219"/>
      <c r="F46" s="219"/>
      <c r="G46" s="82" t="s">
        <v>307</v>
      </c>
    </row>
    <row r="47" spans="1:19" x14ac:dyDescent="0.25">
      <c r="A47" s="102" t="s">
        <v>123</v>
      </c>
      <c r="B47" s="105">
        <f>SQRT((H49^2+I49^2+J49^2+K49^2+L49^2+M49^2+N49^2+O49^2+P49^2+Q49^2+R49^2+S49^2)/H$28)</f>
        <v>5.0000000000000001E-3</v>
      </c>
      <c r="C47" s="88"/>
      <c r="D47" s="200"/>
      <c r="E47" s="200"/>
      <c r="F47" s="200"/>
      <c r="G47" s="102" t="s">
        <v>121</v>
      </c>
      <c r="H47" s="214">
        <f t="shared" ref="H47:K49" si="8">0.005</f>
        <v>5.0000000000000001E-3</v>
      </c>
      <c r="I47" s="214">
        <f t="shared" si="8"/>
        <v>5.0000000000000001E-3</v>
      </c>
      <c r="J47" s="214">
        <f t="shared" si="8"/>
        <v>5.0000000000000001E-3</v>
      </c>
      <c r="K47" s="214">
        <f t="shared" si="8"/>
        <v>5.0000000000000001E-3</v>
      </c>
      <c r="L47" s="214">
        <v>0</v>
      </c>
      <c r="M47" s="214">
        <v>0</v>
      </c>
      <c r="N47" s="214">
        <v>0</v>
      </c>
      <c r="O47" s="214">
        <v>0</v>
      </c>
      <c r="P47" s="214">
        <v>0</v>
      </c>
      <c r="Q47" s="214">
        <v>0</v>
      </c>
      <c r="R47" s="214">
        <v>0</v>
      </c>
      <c r="S47" s="214">
        <v>0</v>
      </c>
    </row>
    <row r="48" spans="1:19" x14ac:dyDescent="0.25">
      <c r="A48" s="102" t="s">
        <v>85</v>
      </c>
      <c r="B48" s="105">
        <f>SQRT((H51^2+I51^2+J51^2+K51^2+L51^2+M51^2+N51^2+O51^2+P51^2+Q51^2+R51^2+S51^2+B37^2)/H$28)</f>
        <v>1.0000000000000007E-4</v>
      </c>
      <c r="C48" s="88"/>
      <c r="D48" s="219"/>
      <c r="E48" s="219"/>
      <c r="F48" s="219"/>
      <c r="G48" s="102" t="s">
        <v>122</v>
      </c>
      <c r="H48" s="214">
        <f t="shared" si="8"/>
        <v>5.0000000000000001E-3</v>
      </c>
      <c r="I48" s="214">
        <f t="shared" si="8"/>
        <v>5.0000000000000001E-3</v>
      </c>
      <c r="J48" s="214">
        <f t="shared" si="8"/>
        <v>5.0000000000000001E-3</v>
      </c>
      <c r="K48" s="214">
        <f t="shared" si="8"/>
        <v>5.0000000000000001E-3</v>
      </c>
      <c r="L48" s="214">
        <v>0</v>
      </c>
      <c r="M48" s="214">
        <v>0</v>
      </c>
      <c r="N48" s="214">
        <v>0</v>
      </c>
      <c r="O48" s="214">
        <v>0</v>
      </c>
      <c r="P48" s="214">
        <v>0</v>
      </c>
      <c r="Q48" s="214">
        <v>0</v>
      </c>
      <c r="R48" s="214">
        <v>0</v>
      </c>
      <c r="S48" s="214">
        <v>0</v>
      </c>
    </row>
    <row r="49" spans="1:20" x14ac:dyDescent="0.25">
      <c r="A49" s="102" t="s">
        <v>86</v>
      </c>
      <c r="B49" s="105">
        <f>SQRT((H52^2+I52^2+J52^2+K52^2+L52^2+M52^2+N52^2+O52^2+P52^2+Q52^2+R52^2+S52^2+B38^2)/H$28)</f>
        <v>9.9999999000000077E-5</v>
      </c>
      <c r="D49" s="219"/>
      <c r="E49" s="219"/>
      <c r="F49" s="219"/>
      <c r="G49" s="102" t="s">
        <v>123</v>
      </c>
      <c r="H49" s="214">
        <f t="shared" si="8"/>
        <v>5.0000000000000001E-3</v>
      </c>
      <c r="I49" s="214">
        <f t="shared" si="8"/>
        <v>5.0000000000000001E-3</v>
      </c>
      <c r="J49" s="214">
        <f t="shared" si="8"/>
        <v>5.0000000000000001E-3</v>
      </c>
      <c r="K49" s="214">
        <f t="shared" si="8"/>
        <v>5.0000000000000001E-3</v>
      </c>
      <c r="L49" s="214">
        <v>0</v>
      </c>
      <c r="M49" s="214">
        <v>0</v>
      </c>
      <c r="N49" s="214">
        <v>0</v>
      </c>
      <c r="O49" s="214">
        <v>0</v>
      </c>
      <c r="P49" s="214">
        <v>0</v>
      </c>
      <c r="Q49" s="214">
        <v>0</v>
      </c>
      <c r="R49" s="214">
        <v>0</v>
      </c>
      <c r="S49" s="214">
        <v>0</v>
      </c>
    </row>
    <row r="50" spans="1:20" x14ac:dyDescent="0.25">
      <c r="A50" s="102" t="s">
        <v>87</v>
      </c>
      <c r="B50" s="105">
        <f>SQRT((H53^2+I53^2+J53^2+K53^2+L53^2+M53^2+N53^2+O53^2+P53^2+Q53^2+R53^2+S53^2+B39^2)/H$28)</f>
        <v>1.0000000000000007E-4</v>
      </c>
      <c r="C50" s="88"/>
      <c r="D50" s="219"/>
      <c r="E50" s="219"/>
      <c r="F50" s="219"/>
      <c r="G50" s="82" t="s">
        <v>251</v>
      </c>
    </row>
    <row r="51" spans="1:20" ht="47.25" x14ac:dyDescent="0.25">
      <c r="A51" s="216" t="s">
        <v>207</v>
      </c>
      <c r="B51" s="107"/>
      <c r="C51" s="88"/>
      <c r="D51" s="220"/>
      <c r="E51" s="220"/>
      <c r="F51" s="220"/>
      <c r="G51" s="102" t="s">
        <v>85</v>
      </c>
      <c r="H51" s="153">
        <f>H98</f>
        <v>9.9999998000000053E-5</v>
      </c>
      <c r="I51" s="153">
        <f t="shared" ref="I51:S51" si="9">I98</f>
        <v>9.9999998000000053E-5</v>
      </c>
      <c r="J51" s="153">
        <f t="shared" si="9"/>
        <v>1.0000000200000004E-4</v>
      </c>
      <c r="K51" s="153">
        <f t="shared" si="9"/>
        <v>1.0000000200000004E-4</v>
      </c>
      <c r="L51" s="153">
        <f t="shared" si="9"/>
        <v>0</v>
      </c>
      <c r="M51" s="153">
        <f t="shared" si="9"/>
        <v>0</v>
      </c>
      <c r="N51" s="153">
        <f t="shared" si="9"/>
        <v>0</v>
      </c>
      <c r="O51" s="153">
        <f t="shared" si="9"/>
        <v>0</v>
      </c>
      <c r="P51" s="153">
        <f t="shared" si="9"/>
        <v>0</v>
      </c>
      <c r="Q51" s="153">
        <f t="shared" si="9"/>
        <v>0</v>
      </c>
      <c r="R51" s="153">
        <f t="shared" si="9"/>
        <v>0</v>
      </c>
      <c r="S51" s="153">
        <f t="shared" si="9"/>
        <v>0</v>
      </c>
    </row>
    <row r="52" spans="1:20" x14ac:dyDescent="0.25">
      <c r="A52" s="102" t="s">
        <v>121</v>
      </c>
      <c r="B52" s="105">
        <f>SQRT((H55^2+I55^2+J55^2+K55^2+L55^2+M55^2+N55^2+O55^2+P55^2+Q55^2+R55^2+S55^2)/H$28)</f>
        <v>0</v>
      </c>
      <c r="C52" s="88"/>
      <c r="D52" s="220"/>
      <c r="E52" s="220"/>
      <c r="F52" s="220"/>
      <c r="G52" s="102" t="s">
        <v>86</v>
      </c>
      <c r="H52" s="153">
        <f>H102</f>
        <v>9.9999998000000053E-5</v>
      </c>
      <c r="I52" s="153">
        <f t="shared" ref="I52:S52" si="10">I102</f>
        <v>9.9999998000000053E-5</v>
      </c>
      <c r="J52" s="153">
        <f t="shared" si="10"/>
        <v>1.0000000200000004E-4</v>
      </c>
      <c r="K52" s="153">
        <f t="shared" si="10"/>
        <v>9.9999998000000053E-5</v>
      </c>
      <c r="L52" s="153">
        <f t="shared" si="10"/>
        <v>0</v>
      </c>
      <c r="M52" s="153">
        <f t="shared" si="10"/>
        <v>0</v>
      </c>
      <c r="N52" s="153">
        <f t="shared" si="10"/>
        <v>0</v>
      </c>
      <c r="O52" s="153">
        <f t="shared" si="10"/>
        <v>0</v>
      </c>
      <c r="P52" s="153">
        <f t="shared" si="10"/>
        <v>0</v>
      </c>
      <c r="Q52" s="153">
        <f t="shared" si="10"/>
        <v>0</v>
      </c>
      <c r="R52" s="153">
        <f t="shared" si="10"/>
        <v>0</v>
      </c>
      <c r="S52" s="153">
        <f t="shared" si="10"/>
        <v>0</v>
      </c>
      <c r="T52" s="83"/>
    </row>
    <row r="53" spans="1:20" x14ac:dyDescent="0.25">
      <c r="A53" s="102" t="s">
        <v>122</v>
      </c>
      <c r="B53" s="105">
        <f>SQRT((H56^2+I56^2+J56^2+K56^2+L56^2+M56^2+N56^2+O56^2+P56^2+Q56^2+R56^2+S56^2)/H$28)</f>
        <v>0</v>
      </c>
      <c r="C53" s="88"/>
      <c r="D53" s="220"/>
      <c r="E53" s="220"/>
      <c r="F53" s="220"/>
      <c r="G53" s="102" t="s">
        <v>87</v>
      </c>
      <c r="H53" s="153">
        <f>H106</f>
        <v>9.9999998000000053E-5</v>
      </c>
      <c r="I53" s="153">
        <f t="shared" ref="I53:S53" si="11">I106</f>
        <v>1.0000000200000004E-4</v>
      </c>
      <c r="J53" s="153">
        <f t="shared" si="11"/>
        <v>1.0000000200000004E-4</v>
      </c>
      <c r="K53" s="153">
        <f t="shared" si="11"/>
        <v>9.9999998000000053E-5</v>
      </c>
      <c r="L53" s="153">
        <f t="shared" si="11"/>
        <v>0</v>
      </c>
      <c r="M53" s="153">
        <f t="shared" si="11"/>
        <v>0</v>
      </c>
      <c r="N53" s="153">
        <f t="shared" si="11"/>
        <v>0</v>
      </c>
      <c r="O53" s="153">
        <f t="shared" si="11"/>
        <v>0</v>
      </c>
      <c r="P53" s="153">
        <f t="shared" si="11"/>
        <v>0</v>
      </c>
      <c r="Q53" s="153">
        <f t="shared" si="11"/>
        <v>0</v>
      </c>
      <c r="R53" s="153">
        <f t="shared" si="11"/>
        <v>0</v>
      </c>
      <c r="S53" s="153">
        <f t="shared" si="11"/>
        <v>0</v>
      </c>
    </row>
    <row r="54" spans="1:20" x14ac:dyDescent="0.25">
      <c r="A54" s="102" t="s">
        <v>123</v>
      </c>
      <c r="B54" s="105">
        <f>SQRT((H57^2+I57^2+J57^2+K57^2+L57^2+M57^2+N57^2+O57^2+P57^2+Q57^2+R57^2+S57^2)/H$28)</f>
        <v>0</v>
      </c>
      <c r="C54" s="88"/>
      <c r="D54" s="214"/>
      <c r="E54" s="214"/>
      <c r="F54" s="214"/>
      <c r="G54" s="82" t="s">
        <v>330</v>
      </c>
    </row>
    <row r="55" spans="1:20" x14ac:dyDescent="0.25">
      <c r="A55" s="102" t="s">
        <v>85</v>
      </c>
      <c r="B55" s="105">
        <f>SQRT((H59^2+I59^2+J59^2+K59^2+L59^2+M59^2+N59^2+O59^2+P59^2+Q59^2+R59^2+S59^2+B41^2)/H$28)</f>
        <v>0</v>
      </c>
      <c r="C55" s="88"/>
      <c r="G55" s="102" t="s">
        <v>121</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SQRT((H60^2+I60^2+J60^2+K60^2+L60^2+M60^2+N60^2+O60^2+P60^2+Q60^2+R60^2+S60^2+B42^2)/H$28)</f>
        <v>0</v>
      </c>
      <c r="G56" s="102" t="s">
        <v>122</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SQRT((H61^2+I61^2+J61^2+K61^2+L61^2+M61^2+N61^2+O61^2+P61^2+Q61^2+R61^2+S61^2+B43^2)/H$28)</f>
        <v>0</v>
      </c>
      <c r="G57" s="102" t="s">
        <v>123</v>
      </c>
      <c r="H57" s="214">
        <v>0</v>
      </c>
      <c r="I57" s="214">
        <v>0</v>
      </c>
      <c r="J57" s="214">
        <v>0</v>
      </c>
      <c r="K57" s="214">
        <v>0</v>
      </c>
      <c r="L57" s="214">
        <v>0</v>
      </c>
      <c r="M57" s="214">
        <v>0</v>
      </c>
      <c r="N57" s="214">
        <v>0</v>
      </c>
      <c r="O57" s="214">
        <v>0</v>
      </c>
      <c r="P57" s="214">
        <v>0</v>
      </c>
      <c r="Q57" s="214">
        <v>0</v>
      </c>
      <c r="R57" s="214">
        <v>0</v>
      </c>
      <c r="S57" s="214">
        <v>0</v>
      </c>
    </row>
    <row r="58" spans="1:20" x14ac:dyDescent="0.25">
      <c r="G58" s="82" t="s">
        <v>252</v>
      </c>
    </row>
    <row r="59" spans="1:20" x14ac:dyDescent="0.25">
      <c r="G59" s="102" t="s">
        <v>85</v>
      </c>
      <c r="H59" s="222">
        <f>H113</f>
        <v>0</v>
      </c>
      <c r="I59" s="222">
        <f t="shared" ref="I59:S59" si="12">I113</f>
        <v>0</v>
      </c>
      <c r="J59" s="222">
        <f t="shared" si="12"/>
        <v>0</v>
      </c>
      <c r="K59" s="222">
        <f t="shared" si="12"/>
        <v>0</v>
      </c>
      <c r="L59" s="222">
        <f t="shared" si="12"/>
        <v>0</v>
      </c>
      <c r="M59" s="222">
        <f t="shared" si="12"/>
        <v>0</v>
      </c>
      <c r="N59" s="222">
        <f t="shared" si="12"/>
        <v>0</v>
      </c>
      <c r="O59" s="222">
        <f t="shared" si="12"/>
        <v>0</v>
      </c>
      <c r="P59" s="222">
        <f t="shared" si="12"/>
        <v>0</v>
      </c>
      <c r="Q59" s="222">
        <f t="shared" si="12"/>
        <v>0</v>
      </c>
      <c r="R59" s="222">
        <f t="shared" si="12"/>
        <v>0</v>
      </c>
      <c r="S59" s="222">
        <f t="shared" si="12"/>
        <v>0</v>
      </c>
    </row>
    <row r="60" spans="1:20" x14ac:dyDescent="0.25">
      <c r="G60" s="102" t="s">
        <v>86</v>
      </c>
      <c r="H60" s="222">
        <f>H118</f>
        <v>0</v>
      </c>
      <c r="I60" s="222">
        <f t="shared" ref="I60:S60" si="13">I118</f>
        <v>0</v>
      </c>
      <c r="J60" s="222">
        <f t="shared" si="13"/>
        <v>0</v>
      </c>
      <c r="K60" s="222">
        <f t="shared" si="13"/>
        <v>0</v>
      </c>
      <c r="L60" s="222">
        <f t="shared" si="13"/>
        <v>0</v>
      </c>
      <c r="M60" s="222">
        <f t="shared" si="13"/>
        <v>0</v>
      </c>
      <c r="N60" s="222">
        <f t="shared" si="13"/>
        <v>0</v>
      </c>
      <c r="O60" s="222">
        <f t="shared" si="13"/>
        <v>0</v>
      </c>
      <c r="P60" s="222">
        <f t="shared" si="13"/>
        <v>0</v>
      </c>
      <c r="Q60" s="222">
        <f t="shared" si="13"/>
        <v>0</v>
      </c>
      <c r="R60" s="222">
        <f t="shared" si="13"/>
        <v>0</v>
      </c>
      <c r="S60" s="222">
        <f t="shared" si="13"/>
        <v>0</v>
      </c>
    </row>
    <row r="61" spans="1:20" x14ac:dyDescent="0.25">
      <c r="G61" s="102" t="s">
        <v>87</v>
      </c>
      <c r="H61" s="222">
        <f>H123</f>
        <v>0</v>
      </c>
      <c r="I61" s="222">
        <f t="shared" ref="I61:S61" si="14">I123</f>
        <v>0</v>
      </c>
      <c r="J61" s="222">
        <f t="shared" si="14"/>
        <v>0</v>
      </c>
      <c r="K61" s="222">
        <f t="shared" si="14"/>
        <v>0</v>
      </c>
      <c r="L61" s="222">
        <f t="shared" si="14"/>
        <v>0</v>
      </c>
      <c r="M61" s="222">
        <f t="shared" si="14"/>
        <v>0</v>
      </c>
      <c r="N61" s="222">
        <f t="shared" si="14"/>
        <v>0</v>
      </c>
      <c r="O61" s="222">
        <f t="shared" si="14"/>
        <v>0</v>
      </c>
      <c r="P61" s="222">
        <f t="shared" si="14"/>
        <v>0</v>
      </c>
      <c r="Q61" s="222">
        <f t="shared" si="14"/>
        <v>0</v>
      </c>
      <c r="R61" s="222">
        <f t="shared" si="14"/>
        <v>0</v>
      </c>
      <c r="S61" s="222">
        <f t="shared" si="14"/>
        <v>0</v>
      </c>
    </row>
    <row r="62" spans="1:20" x14ac:dyDescent="0.25">
      <c r="G62" s="215"/>
    </row>
    <row r="63" spans="1:20" x14ac:dyDescent="0.25">
      <c r="I63" s="118"/>
      <c r="J63" s="118"/>
      <c r="K63" s="118"/>
      <c r="L63" s="118"/>
      <c r="M63" s="118"/>
      <c r="N63" s="118"/>
    </row>
    <row r="64" spans="1:20" x14ac:dyDescent="0.25">
      <c r="G64" s="119"/>
      <c r="H64" s="353"/>
      <c r="I64" s="148"/>
      <c r="J64" s="148"/>
      <c r="K64" s="148"/>
      <c r="L64" s="148"/>
      <c r="M64" s="148"/>
      <c r="N64" s="148"/>
      <c r="O64" s="118"/>
    </row>
    <row r="65" spans="1:15" x14ac:dyDescent="0.25">
      <c r="G65" s="119"/>
      <c r="H65" s="353"/>
      <c r="I65" s="148"/>
      <c r="J65" s="148"/>
      <c r="K65" s="148"/>
      <c r="L65" s="148"/>
      <c r="M65" s="148"/>
      <c r="N65" s="148"/>
      <c r="O65" s="118"/>
    </row>
    <row r="66" spans="1:15" x14ac:dyDescent="0.25">
      <c r="G66" s="119"/>
      <c r="H66" s="353"/>
      <c r="I66" s="148"/>
      <c r="J66" s="148"/>
      <c r="K66" s="148"/>
      <c r="L66" s="148"/>
      <c r="M66" s="148"/>
      <c r="N66" s="148"/>
      <c r="O66" s="118"/>
    </row>
    <row r="67" spans="1:15" x14ac:dyDescent="0.25">
      <c r="G67" s="119"/>
      <c r="H67" s="353"/>
      <c r="I67" s="148"/>
      <c r="J67" s="148"/>
      <c r="K67" s="148"/>
      <c r="L67" s="148"/>
      <c r="M67" s="148"/>
      <c r="N67" s="148"/>
      <c r="O67" s="118"/>
    </row>
    <row r="68" spans="1:15" x14ac:dyDescent="0.25">
      <c r="G68" s="119"/>
      <c r="H68" s="353"/>
      <c r="I68" s="148"/>
      <c r="J68" s="148"/>
      <c r="K68" s="148"/>
      <c r="L68" s="148"/>
      <c r="M68" s="148"/>
      <c r="N68" s="148"/>
      <c r="O68" s="118"/>
    </row>
    <row r="69" spans="1:15" x14ac:dyDescent="0.25">
      <c r="G69" s="119"/>
      <c r="H69" s="353"/>
      <c r="I69" s="148"/>
      <c r="J69" s="148"/>
      <c r="K69" s="148"/>
      <c r="L69" s="148"/>
      <c r="M69" s="148"/>
      <c r="N69" s="148"/>
      <c r="O69" s="118"/>
    </row>
    <row r="70" spans="1:15" x14ac:dyDescent="0.25">
      <c r="G70" s="119"/>
      <c r="H70" s="197"/>
      <c r="I70" s="223"/>
      <c r="J70" s="223"/>
      <c r="K70" s="223"/>
      <c r="L70" s="223"/>
      <c r="M70" s="223"/>
      <c r="N70" s="223"/>
      <c r="O70" s="118"/>
    </row>
    <row r="71" spans="1:15" x14ac:dyDescent="0.25">
      <c r="G71" s="119"/>
      <c r="H71" s="197"/>
      <c r="I71" s="223"/>
      <c r="J71" s="223"/>
      <c r="K71" s="223"/>
      <c r="L71" s="223"/>
      <c r="M71" s="223"/>
      <c r="N71" s="223"/>
      <c r="O71" s="118"/>
    </row>
    <row r="72" spans="1:15" x14ac:dyDescent="0.25">
      <c r="G72" s="119"/>
      <c r="H72" s="197"/>
      <c r="I72" s="223"/>
      <c r="J72" s="223"/>
      <c r="K72" s="223"/>
      <c r="L72" s="223"/>
      <c r="M72" s="223"/>
      <c r="N72" s="223"/>
      <c r="O72" s="118"/>
    </row>
    <row r="73" spans="1:15" x14ac:dyDescent="0.25">
      <c r="G73" s="119"/>
      <c r="H73" s="197"/>
      <c r="I73" s="223"/>
      <c r="J73" s="223"/>
      <c r="K73" s="223"/>
      <c r="L73" s="223"/>
      <c r="M73" s="223"/>
      <c r="N73" s="223"/>
      <c r="O73" s="118"/>
    </row>
    <row r="74" spans="1:15" x14ac:dyDescent="0.25">
      <c r="G74" s="119"/>
      <c r="H74" s="197"/>
      <c r="I74" s="223"/>
      <c r="J74" s="223"/>
      <c r="K74" s="223"/>
      <c r="L74" s="223"/>
      <c r="M74" s="223"/>
      <c r="N74" s="223"/>
      <c r="O74" s="118"/>
    </row>
    <row r="75" spans="1:15" x14ac:dyDescent="0.25">
      <c r="G75" s="119"/>
      <c r="H75" s="197"/>
      <c r="I75" s="223"/>
      <c r="J75" s="223"/>
      <c r="K75" s="223"/>
      <c r="L75" s="223"/>
      <c r="M75" s="223"/>
      <c r="N75" s="223"/>
      <c r="O75" s="118"/>
    </row>
    <row r="76" spans="1:15" x14ac:dyDescent="0.25">
      <c r="G76" s="119"/>
      <c r="H76" s="197"/>
      <c r="I76" s="223"/>
      <c r="J76" s="223"/>
      <c r="K76" s="223"/>
      <c r="L76" s="223"/>
      <c r="M76" s="223"/>
      <c r="N76" s="223"/>
      <c r="O76" s="118"/>
    </row>
    <row r="77" spans="1:15" x14ac:dyDescent="0.25">
      <c r="G77" s="119"/>
      <c r="H77" s="197"/>
      <c r="I77" s="223"/>
      <c r="J77" s="223"/>
      <c r="K77" s="223"/>
      <c r="L77" s="223"/>
      <c r="M77" s="223"/>
      <c r="N77" s="223"/>
      <c r="O77" s="118"/>
    </row>
    <row r="78" spans="1:15" x14ac:dyDescent="0.25">
      <c r="A78" s="102"/>
      <c r="B78" s="210"/>
      <c r="G78" s="119"/>
      <c r="H78" s="197"/>
      <c r="I78" s="223"/>
      <c r="J78" s="223"/>
      <c r="K78" s="223"/>
      <c r="L78" s="223"/>
      <c r="M78" s="223"/>
      <c r="N78" s="223"/>
      <c r="O78" s="118"/>
    </row>
    <row r="79" spans="1:15" x14ac:dyDescent="0.25">
      <c r="A79" s="102"/>
      <c r="B79" s="210"/>
      <c r="G79" s="119"/>
      <c r="H79" s="197"/>
      <c r="I79" s="223"/>
      <c r="J79" s="223"/>
      <c r="K79" s="223"/>
      <c r="L79" s="223"/>
      <c r="M79" s="223"/>
      <c r="N79" s="223"/>
      <c r="O79" s="118"/>
    </row>
    <row r="80" spans="1:15" x14ac:dyDescent="0.25">
      <c r="A80" s="102"/>
      <c r="B80" s="210"/>
      <c r="G80" s="119"/>
      <c r="H80" s="197"/>
      <c r="I80" s="223"/>
      <c r="J80" s="223"/>
      <c r="K80" s="223"/>
      <c r="L80" s="223"/>
      <c r="M80" s="223"/>
      <c r="N80" s="223"/>
      <c r="O80" s="118"/>
    </row>
    <row r="81" spans="1:19" x14ac:dyDescent="0.25">
      <c r="A81" s="102"/>
      <c r="B81" s="210"/>
      <c r="G81" s="119"/>
      <c r="H81" s="197"/>
      <c r="I81" s="223"/>
      <c r="J81" s="223"/>
      <c r="K81" s="223"/>
      <c r="L81" s="223"/>
      <c r="M81" s="223"/>
      <c r="N81" s="223"/>
      <c r="O81" s="118"/>
    </row>
    <row r="82" spans="1:19" x14ac:dyDescent="0.25">
      <c r="A82" s="102"/>
      <c r="B82" s="210"/>
      <c r="G82" s="119"/>
      <c r="H82" s="197"/>
      <c r="I82" s="223"/>
      <c r="J82" s="223"/>
      <c r="K82" s="223"/>
      <c r="L82" s="223"/>
      <c r="M82" s="223"/>
      <c r="N82" s="223"/>
      <c r="O82" s="118"/>
    </row>
    <row r="83" spans="1:19" x14ac:dyDescent="0.25">
      <c r="A83" s="102"/>
      <c r="B83" s="210"/>
      <c r="G83" s="119"/>
      <c r="H83" s="197"/>
      <c r="I83" s="223"/>
      <c r="J83" s="223"/>
      <c r="K83" s="223"/>
      <c r="L83" s="223"/>
      <c r="M83" s="223"/>
      <c r="N83" s="223"/>
      <c r="O83" s="118"/>
    </row>
    <row r="84" spans="1:19" x14ac:dyDescent="0.25">
      <c r="A84" s="102"/>
      <c r="B84" s="210"/>
      <c r="G84" s="119"/>
      <c r="H84" s="197"/>
      <c r="I84" s="223"/>
      <c r="J84" s="223"/>
      <c r="K84" s="223"/>
      <c r="L84" s="223"/>
      <c r="M84" s="223"/>
      <c r="N84" s="223"/>
      <c r="O84" s="118"/>
    </row>
    <row r="85" spans="1:19" x14ac:dyDescent="0.25">
      <c r="A85" s="102"/>
      <c r="B85" s="210"/>
      <c r="G85" s="119"/>
      <c r="H85" s="197"/>
      <c r="I85" s="223"/>
      <c r="J85" s="223"/>
      <c r="K85" s="223"/>
      <c r="L85" s="223"/>
      <c r="M85" s="223"/>
      <c r="N85" s="223"/>
      <c r="O85" s="118"/>
    </row>
    <row r="86" spans="1:19" x14ac:dyDescent="0.25">
      <c r="A86" s="102"/>
      <c r="B86" s="210"/>
      <c r="G86" s="119"/>
      <c r="H86" s="197"/>
      <c r="I86" s="223"/>
      <c r="J86" s="223"/>
      <c r="K86" s="223"/>
      <c r="L86" s="223"/>
      <c r="M86" s="223"/>
      <c r="N86" s="223"/>
      <c r="O86" s="118"/>
    </row>
    <row r="87" spans="1:19" x14ac:dyDescent="0.25">
      <c r="A87" s="102"/>
      <c r="B87" s="210"/>
      <c r="G87" s="119"/>
      <c r="H87" s="197"/>
      <c r="I87" s="223"/>
      <c r="J87" s="223"/>
      <c r="K87" s="223"/>
      <c r="L87" s="223"/>
      <c r="M87" s="223"/>
      <c r="N87" s="223"/>
      <c r="O87" s="118"/>
    </row>
    <row r="88" spans="1:19" x14ac:dyDescent="0.25">
      <c r="A88" s="102"/>
      <c r="B88" s="210"/>
      <c r="G88" s="119"/>
      <c r="H88" s="197"/>
      <c r="I88" s="223"/>
      <c r="J88" s="223"/>
      <c r="K88" s="223"/>
      <c r="L88" s="223"/>
      <c r="M88" s="223"/>
      <c r="N88" s="223"/>
      <c r="O88" s="118"/>
    </row>
    <row r="89" spans="1:19" x14ac:dyDescent="0.25">
      <c r="A89" s="102"/>
      <c r="B89" s="210"/>
      <c r="G89" s="119"/>
      <c r="H89" s="197"/>
      <c r="I89" s="223"/>
      <c r="J89" s="223"/>
      <c r="K89" s="223"/>
      <c r="L89" s="223"/>
      <c r="M89" s="223"/>
      <c r="N89" s="223"/>
      <c r="O89" s="118"/>
    </row>
    <row r="90" spans="1:19" x14ac:dyDescent="0.25">
      <c r="A90" s="102"/>
      <c r="B90" s="210"/>
      <c r="G90" s="119"/>
      <c r="H90" s="197"/>
      <c r="I90" s="223"/>
      <c r="J90" s="223"/>
      <c r="K90" s="223"/>
      <c r="L90" s="223"/>
      <c r="M90" s="223"/>
      <c r="N90" s="223"/>
      <c r="O90" s="118"/>
    </row>
    <row r="91" spans="1:19" x14ac:dyDescent="0.25">
      <c r="A91" s="102"/>
      <c r="B91" s="210"/>
    </row>
    <row r="92" spans="1:19" x14ac:dyDescent="0.25">
      <c r="A92" s="102"/>
      <c r="B92" s="210"/>
    </row>
    <row r="93" spans="1:19" x14ac:dyDescent="0.25">
      <c r="A93" s="102"/>
      <c r="B93" s="210"/>
    </row>
    <row r="94" spans="1:19" x14ac:dyDescent="0.25">
      <c r="A94" s="102"/>
      <c r="B94" s="210"/>
      <c r="G94" s="224" t="s">
        <v>259</v>
      </c>
    </row>
    <row r="95" spans="1:19" x14ac:dyDescent="0.25">
      <c r="A95" s="102"/>
      <c r="B95" s="210"/>
      <c r="G95" s="212"/>
      <c r="H95" s="150" t="s">
        <v>260</v>
      </c>
    </row>
    <row r="96" spans="1:19" x14ac:dyDescent="0.25">
      <c r="A96" s="102"/>
      <c r="B96" s="210"/>
      <c r="G96" s="150" t="s">
        <v>258</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10"/>
      <c r="G97" s="150" t="s">
        <v>258</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10"/>
      <c r="G98" s="81" t="s">
        <v>256</v>
      </c>
      <c r="H98" s="225">
        <f>IF(MIN(H96,H97)&gt;1,0,MIN(H96,H97))</f>
        <v>9.9999998000000053E-5</v>
      </c>
      <c r="I98" s="225">
        <f t="shared" ref="I98:S98" si="17">IF(MIN(I96,I97)&gt;1,0,MIN(I96,I97))</f>
        <v>9.9999998000000053E-5</v>
      </c>
      <c r="J98" s="225">
        <f t="shared" si="17"/>
        <v>1.0000000200000004E-4</v>
      </c>
      <c r="K98" s="225">
        <f t="shared" si="17"/>
        <v>1.0000000200000004E-4</v>
      </c>
      <c r="L98" s="225">
        <f t="shared" si="17"/>
        <v>0</v>
      </c>
      <c r="M98" s="225">
        <f t="shared" si="17"/>
        <v>0</v>
      </c>
      <c r="N98" s="225">
        <f t="shared" si="17"/>
        <v>0</v>
      </c>
      <c r="O98" s="225">
        <f t="shared" si="17"/>
        <v>0</v>
      </c>
      <c r="P98" s="225">
        <f t="shared" si="17"/>
        <v>0</v>
      </c>
      <c r="Q98" s="225">
        <f t="shared" si="17"/>
        <v>0</v>
      </c>
      <c r="R98" s="225">
        <f t="shared" si="17"/>
        <v>0</v>
      </c>
      <c r="S98" s="225">
        <f t="shared" si="17"/>
        <v>0</v>
      </c>
    </row>
    <row r="99" spans="1:19" x14ac:dyDescent="0.25">
      <c r="A99" s="102"/>
      <c r="B99" s="210"/>
      <c r="H99" s="150" t="s">
        <v>261</v>
      </c>
      <c r="I99" s="150"/>
      <c r="J99" s="150"/>
      <c r="K99" s="150"/>
      <c r="L99" s="150"/>
      <c r="M99" s="150"/>
      <c r="N99" s="150"/>
      <c r="O99" s="150"/>
      <c r="P99" s="150"/>
      <c r="Q99" s="150"/>
      <c r="R99" s="150"/>
      <c r="S99" s="150"/>
    </row>
    <row r="100" spans="1:19" x14ac:dyDescent="0.25">
      <c r="A100" s="102"/>
      <c r="B100" s="210"/>
      <c r="G100" s="115" t="s">
        <v>258</v>
      </c>
      <c r="H100" s="155">
        <f t="shared" ref="H100:S100" si="18">H49/ABS(H31+0.000001)</f>
        <v>9.9999998000000053E-5</v>
      </c>
      <c r="I100" s="155">
        <f t="shared" si="18"/>
        <v>1.0000000200000004E-4</v>
      </c>
      <c r="J100" s="155">
        <f t="shared" si="18"/>
        <v>1.0000000200000004E-4</v>
      </c>
      <c r="K100" s="155">
        <f t="shared" si="18"/>
        <v>9.9999998000000053E-5</v>
      </c>
      <c r="L100" s="155">
        <f t="shared" si="18"/>
        <v>0</v>
      </c>
      <c r="M100" s="155">
        <f t="shared" si="18"/>
        <v>0</v>
      </c>
      <c r="N100" s="155">
        <f t="shared" si="18"/>
        <v>0</v>
      </c>
      <c r="O100" s="155">
        <f t="shared" si="18"/>
        <v>0</v>
      </c>
      <c r="P100" s="155">
        <f t="shared" si="18"/>
        <v>0</v>
      </c>
      <c r="Q100" s="155">
        <f t="shared" si="18"/>
        <v>0</v>
      </c>
      <c r="R100" s="155">
        <f t="shared" si="18"/>
        <v>0</v>
      </c>
      <c r="S100" s="155">
        <f t="shared" si="18"/>
        <v>0</v>
      </c>
    </row>
    <row r="101" spans="1:19" x14ac:dyDescent="0.25">
      <c r="A101" s="102"/>
      <c r="B101" s="210"/>
      <c r="G101" s="115" t="s">
        <v>258</v>
      </c>
      <c r="H101" s="226">
        <f t="shared" ref="H101:S101" si="19">H47/ABS(H33+0.000001)</f>
        <v>9.9999998000000053E-5</v>
      </c>
      <c r="I101" s="226">
        <f t="shared" si="19"/>
        <v>9.9999998000000053E-5</v>
      </c>
      <c r="J101" s="226">
        <f t="shared" si="19"/>
        <v>1.0000000200000004E-4</v>
      </c>
      <c r="K101" s="226">
        <f t="shared" si="19"/>
        <v>1.0000000200000004E-4</v>
      </c>
      <c r="L101" s="226">
        <f t="shared" si="19"/>
        <v>0</v>
      </c>
      <c r="M101" s="226">
        <f t="shared" si="19"/>
        <v>0</v>
      </c>
      <c r="N101" s="226">
        <f t="shared" si="19"/>
        <v>0</v>
      </c>
      <c r="O101" s="226">
        <f t="shared" si="19"/>
        <v>0</v>
      </c>
      <c r="P101" s="226">
        <f t="shared" si="19"/>
        <v>0</v>
      </c>
      <c r="Q101" s="226">
        <f t="shared" si="19"/>
        <v>0</v>
      </c>
      <c r="R101" s="226">
        <f t="shared" si="19"/>
        <v>0</v>
      </c>
      <c r="S101" s="226">
        <f t="shared" si="19"/>
        <v>0</v>
      </c>
    </row>
    <row r="102" spans="1:19" x14ac:dyDescent="0.25">
      <c r="A102" s="102"/>
      <c r="B102" s="210"/>
      <c r="G102" s="81" t="s">
        <v>256</v>
      </c>
      <c r="H102" s="225">
        <f>IF(MIN(H100,H101)&gt;1,0,MIN(H100,H101))</f>
        <v>9.9999998000000053E-5</v>
      </c>
      <c r="I102" s="225">
        <f t="shared" ref="I102:S102" si="20">IF(MIN(I100,I101)&gt;1,0,MIN(I100,I101))</f>
        <v>9.9999998000000053E-5</v>
      </c>
      <c r="J102" s="225">
        <f t="shared" si="20"/>
        <v>1.0000000200000004E-4</v>
      </c>
      <c r="K102" s="225">
        <f t="shared" si="20"/>
        <v>9.9999998000000053E-5</v>
      </c>
      <c r="L102" s="225">
        <f t="shared" si="20"/>
        <v>0</v>
      </c>
      <c r="M102" s="225">
        <f t="shared" si="20"/>
        <v>0</v>
      </c>
      <c r="N102" s="225">
        <f t="shared" si="20"/>
        <v>0</v>
      </c>
      <c r="O102" s="225">
        <f t="shared" si="20"/>
        <v>0</v>
      </c>
      <c r="P102" s="225">
        <f t="shared" si="20"/>
        <v>0</v>
      </c>
      <c r="Q102" s="225">
        <f t="shared" si="20"/>
        <v>0</v>
      </c>
      <c r="R102" s="225">
        <f t="shared" si="20"/>
        <v>0</v>
      </c>
      <c r="S102" s="225">
        <f t="shared" si="20"/>
        <v>0</v>
      </c>
    </row>
    <row r="103" spans="1:19" x14ac:dyDescent="0.25">
      <c r="A103" s="102"/>
      <c r="B103" s="210"/>
      <c r="H103" s="81" t="s">
        <v>262</v>
      </c>
    </row>
    <row r="104" spans="1:19" x14ac:dyDescent="0.25">
      <c r="A104" s="102"/>
      <c r="B104" s="210"/>
      <c r="G104" s="150" t="s">
        <v>258</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10"/>
      <c r="G105" s="150" t="s">
        <v>258</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10"/>
      <c r="G106" s="81" t="s">
        <v>256</v>
      </c>
      <c r="H106" s="225">
        <f>IF(MIN(H104,H105)&gt;1,0,MIN(H104,H105))</f>
        <v>9.9999998000000053E-5</v>
      </c>
      <c r="I106" s="225">
        <f t="shared" ref="I106:S106" si="23">IF(MIN(I104,I105)&gt;1,0,MIN(I104,I105))</f>
        <v>1.0000000200000004E-4</v>
      </c>
      <c r="J106" s="225">
        <f t="shared" si="23"/>
        <v>1.0000000200000004E-4</v>
      </c>
      <c r="K106" s="225">
        <f t="shared" si="23"/>
        <v>9.9999998000000053E-5</v>
      </c>
      <c r="L106" s="225">
        <f t="shared" si="23"/>
        <v>0</v>
      </c>
      <c r="M106" s="225">
        <f t="shared" si="23"/>
        <v>0</v>
      </c>
      <c r="N106" s="225">
        <f t="shared" si="23"/>
        <v>0</v>
      </c>
      <c r="O106" s="225">
        <f t="shared" si="23"/>
        <v>0</v>
      </c>
      <c r="P106" s="225">
        <f t="shared" si="23"/>
        <v>0</v>
      </c>
      <c r="Q106" s="225">
        <f t="shared" si="23"/>
        <v>0</v>
      </c>
      <c r="R106" s="225">
        <f t="shared" si="23"/>
        <v>0</v>
      </c>
      <c r="S106" s="225">
        <f t="shared" si="23"/>
        <v>0</v>
      </c>
    </row>
    <row r="107" spans="1:19" x14ac:dyDescent="0.25">
      <c r="A107" s="102"/>
      <c r="B107" s="210"/>
    </row>
    <row r="108" spans="1:19" x14ac:dyDescent="0.25">
      <c r="G108" s="224" t="s">
        <v>308</v>
      </c>
      <c r="H108" s="224"/>
      <c r="I108" s="224"/>
      <c r="J108" s="224"/>
      <c r="K108" s="224"/>
      <c r="L108" s="224"/>
      <c r="M108" s="224"/>
      <c r="N108" s="224"/>
      <c r="O108" s="224"/>
      <c r="P108" s="224"/>
    </row>
    <row r="109" spans="1:19" x14ac:dyDescent="0.25">
      <c r="H109" s="102" t="s">
        <v>253</v>
      </c>
      <c r="I109" s="102"/>
      <c r="J109" s="102"/>
      <c r="K109" s="102"/>
      <c r="L109" s="102"/>
      <c r="M109" s="102"/>
      <c r="N109" s="102"/>
      <c r="O109" s="102"/>
      <c r="P109" s="102"/>
      <c r="Q109" s="102"/>
      <c r="R109" s="102"/>
      <c r="S109" s="102"/>
    </row>
    <row r="110" spans="1:19" x14ac:dyDescent="0.25">
      <c r="G110" s="150" t="s">
        <v>258</v>
      </c>
      <c r="H110" s="225">
        <f t="shared" ref="H110:S110" si="24">H56/(H33+0.000001)</f>
        <v>0</v>
      </c>
      <c r="I110" s="225">
        <f t="shared" si="24"/>
        <v>0</v>
      </c>
      <c r="J110" s="225">
        <f t="shared" si="24"/>
        <v>0</v>
      </c>
      <c r="K110" s="225">
        <f t="shared" si="24"/>
        <v>0</v>
      </c>
      <c r="L110" s="225">
        <f t="shared" si="24"/>
        <v>0</v>
      </c>
      <c r="M110" s="225">
        <f t="shared" si="24"/>
        <v>0</v>
      </c>
      <c r="N110" s="225">
        <f t="shared" si="24"/>
        <v>0</v>
      </c>
      <c r="O110" s="225">
        <f t="shared" si="24"/>
        <v>0</v>
      </c>
      <c r="P110" s="225">
        <f t="shared" si="24"/>
        <v>0</v>
      </c>
      <c r="Q110" s="225">
        <f t="shared" si="24"/>
        <v>0</v>
      </c>
      <c r="R110" s="225">
        <f t="shared" si="24"/>
        <v>0</v>
      </c>
      <c r="S110" s="225">
        <f t="shared" si="24"/>
        <v>0</v>
      </c>
    </row>
    <row r="111" spans="1:19" x14ac:dyDescent="0.25">
      <c r="G111" s="150" t="s">
        <v>258</v>
      </c>
      <c r="H111" s="227">
        <f t="shared" ref="H111:S111" si="25">H57/(H32+0.000001)</f>
        <v>0</v>
      </c>
      <c r="I111" s="227">
        <f t="shared" si="25"/>
        <v>0</v>
      </c>
      <c r="J111" s="227">
        <f t="shared" si="25"/>
        <v>0</v>
      </c>
      <c r="K111" s="227">
        <f t="shared" si="25"/>
        <v>0</v>
      </c>
      <c r="L111" s="227">
        <f t="shared" si="25"/>
        <v>0</v>
      </c>
      <c r="M111" s="227">
        <f t="shared" si="25"/>
        <v>0</v>
      </c>
      <c r="N111" s="227">
        <f t="shared" si="25"/>
        <v>0</v>
      </c>
      <c r="O111" s="227">
        <f t="shared" si="25"/>
        <v>0</v>
      </c>
      <c r="P111" s="227">
        <f t="shared" si="25"/>
        <v>0</v>
      </c>
      <c r="Q111" s="227">
        <f t="shared" si="25"/>
        <v>0</v>
      </c>
      <c r="R111" s="227">
        <f t="shared" si="25"/>
        <v>0</v>
      </c>
      <c r="S111" s="227">
        <f t="shared" si="25"/>
        <v>0</v>
      </c>
    </row>
    <row r="112" spans="1:19" x14ac:dyDescent="0.25">
      <c r="G112" s="81" t="s">
        <v>257</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256</v>
      </c>
      <c r="H113" s="225">
        <f>IF(H112*MIN(ABS(H110),ABS(H111))&gt;1,0,H112*MIN(ABS(H110),ABS(H111)))</f>
        <v>0</v>
      </c>
      <c r="I113" s="225">
        <f t="shared" ref="I113:S113" si="27">IF(I112*MIN(ABS(I110),ABS(I111))&gt;1,0,I112*MIN(ABS(I110),ABS(I111)))</f>
        <v>0</v>
      </c>
      <c r="J113" s="225">
        <f t="shared" si="27"/>
        <v>0</v>
      </c>
      <c r="K113" s="225">
        <f t="shared" si="27"/>
        <v>0</v>
      </c>
      <c r="L113" s="225">
        <f t="shared" si="27"/>
        <v>0</v>
      </c>
      <c r="M113" s="225">
        <f t="shared" si="27"/>
        <v>0</v>
      </c>
      <c r="N113" s="225">
        <f t="shared" si="27"/>
        <v>0</v>
      </c>
      <c r="O113" s="225">
        <f t="shared" si="27"/>
        <v>0</v>
      </c>
      <c r="P113" s="225">
        <f t="shared" si="27"/>
        <v>0</v>
      </c>
      <c r="Q113" s="225">
        <f t="shared" si="27"/>
        <v>0</v>
      </c>
      <c r="R113" s="225">
        <f t="shared" si="27"/>
        <v>0</v>
      </c>
      <c r="S113" s="225">
        <f t="shared" si="27"/>
        <v>0</v>
      </c>
    </row>
    <row r="114" spans="7:19" x14ac:dyDescent="0.25">
      <c r="H114" s="102" t="s">
        <v>254</v>
      </c>
      <c r="I114" s="102"/>
      <c r="J114" s="102"/>
      <c r="K114" s="102"/>
      <c r="L114" s="102"/>
      <c r="M114" s="102"/>
      <c r="N114" s="102"/>
      <c r="O114" s="102"/>
      <c r="P114" s="102"/>
      <c r="Q114" s="102"/>
      <c r="R114" s="102"/>
      <c r="S114" s="102"/>
    </row>
    <row r="115" spans="7:19" x14ac:dyDescent="0.25">
      <c r="G115" s="115" t="s">
        <v>258</v>
      </c>
      <c r="H115" s="155">
        <f t="shared" ref="H115:S115" si="28">-H57/(H31+0.000001)</f>
        <v>0</v>
      </c>
      <c r="I115" s="155">
        <f t="shared" si="28"/>
        <v>0</v>
      </c>
      <c r="J115" s="155">
        <f t="shared" si="28"/>
        <v>0</v>
      </c>
      <c r="K115" s="155">
        <f t="shared" si="28"/>
        <v>0</v>
      </c>
      <c r="L115" s="155">
        <f t="shared" si="28"/>
        <v>0</v>
      </c>
      <c r="M115" s="155">
        <f t="shared" si="28"/>
        <v>0</v>
      </c>
      <c r="N115" s="155">
        <f t="shared" si="28"/>
        <v>0</v>
      </c>
      <c r="O115" s="155">
        <f t="shared" si="28"/>
        <v>0</v>
      </c>
      <c r="P115" s="155">
        <f t="shared" si="28"/>
        <v>0</v>
      </c>
      <c r="Q115" s="155">
        <f t="shared" si="28"/>
        <v>0</v>
      </c>
      <c r="R115" s="155">
        <f t="shared" si="28"/>
        <v>0</v>
      </c>
      <c r="S115" s="155">
        <f t="shared" si="28"/>
        <v>0</v>
      </c>
    </row>
    <row r="116" spans="7:19" x14ac:dyDescent="0.25">
      <c r="G116" s="115" t="s">
        <v>258</v>
      </c>
      <c r="H116" s="155">
        <f t="shared" ref="H116:S116" si="29">H55/(H33+0.000001)</f>
        <v>0</v>
      </c>
      <c r="I116" s="155">
        <f t="shared" si="29"/>
        <v>0</v>
      </c>
      <c r="J116" s="155">
        <f t="shared" si="29"/>
        <v>0</v>
      </c>
      <c r="K116" s="155">
        <f t="shared" si="29"/>
        <v>0</v>
      </c>
      <c r="L116" s="155">
        <f t="shared" si="29"/>
        <v>0</v>
      </c>
      <c r="M116" s="155">
        <f t="shared" si="29"/>
        <v>0</v>
      </c>
      <c r="N116" s="155">
        <f t="shared" si="29"/>
        <v>0</v>
      </c>
      <c r="O116" s="155">
        <f t="shared" si="29"/>
        <v>0</v>
      </c>
      <c r="P116" s="155">
        <f t="shared" si="29"/>
        <v>0</v>
      </c>
      <c r="Q116" s="155">
        <f t="shared" si="29"/>
        <v>0</v>
      </c>
      <c r="R116" s="155">
        <f t="shared" si="29"/>
        <v>0</v>
      </c>
      <c r="S116" s="155">
        <f t="shared" si="29"/>
        <v>0</v>
      </c>
    </row>
    <row r="117" spans="7:19" x14ac:dyDescent="0.25">
      <c r="G117" s="155" t="s">
        <v>257</v>
      </c>
      <c r="H117" s="228">
        <f>SIGN(H115+0.000000000001)*SIGN(H116+0.000000000001)</f>
        <v>1</v>
      </c>
      <c r="I117" s="228">
        <f t="shared" ref="I117:S117" si="30">SIGN(I115+0.000000000001)*SIGN(I116+0.000000000001)</f>
        <v>1</v>
      </c>
      <c r="J117" s="228">
        <f t="shared" si="30"/>
        <v>1</v>
      </c>
      <c r="K117" s="228">
        <f t="shared" si="30"/>
        <v>1</v>
      </c>
      <c r="L117" s="228">
        <f t="shared" si="30"/>
        <v>1</v>
      </c>
      <c r="M117" s="228">
        <f t="shared" si="30"/>
        <v>1</v>
      </c>
      <c r="N117" s="228">
        <f t="shared" si="30"/>
        <v>1</v>
      </c>
      <c r="O117" s="228">
        <f t="shared" si="30"/>
        <v>1</v>
      </c>
      <c r="P117" s="228">
        <f t="shared" si="30"/>
        <v>1</v>
      </c>
      <c r="Q117" s="228">
        <f t="shared" si="30"/>
        <v>1</v>
      </c>
      <c r="R117" s="228">
        <f t="shared" si="30"/>
        <v>1</v>
      </c>
      <c r="S117" s="228">
        <f t="shared" si="30"/>
        <v>1</v>
      </c>
    </row>
    <row r="118" spans="7:19" x14ac:dyDescent="0.25">
      <c r="G118" s="155" t="s">
        <v>256</v>
      </c>
      <c r="H118" s="229">
        <f>IF(H117*MIN(ABS(H115),ABS(H116))&gt;1,0,H117*MIN(ABS(H115),ABS(H116)))</f>
        <v>0</v>
      </c>
      <c r="I118" s="229">
        <f t="shared" ref="I118:S118" si="31">IF(I117*MIN(ABS(I115),ABS(I116))&gt;1,0,I117*MIN(ABS(I115),ABS(I116)))</f>
        <v>0</v>
      </c>
      <c r="J118" s="229">
        <f t="shared" si="31"/>
        <v>0</v>
      </c>
      <c r="K118" s="229">
        <f t="shared" si="31"/>
        <v>0</v>
      </c>
      <c r="L118" s="229">
        <f t="shared" si="31"/>
        <v>0</v>
      </c>
      <c r="M118" s="229">
        <f t="shared" si="31"/>
        <v>0</v>
      </c>
      <c r="N118" s="229">
        <f t="shared" si="31"/>
        <v>0</v>
      </c>
      <c r="O118" s="229">
        <f t="shared" si="31"/>
        <v>0</v>
      </c>
      <c r="P118" s="229">
        <f t="shared" si="31"/>
        <v>0</v>
      </c>
      <c r="Q118" s="229">
        <f t="shared" si="31"/>
        <v>0</v>
      </c>
      <c r="R118" s="229">
        <f t="shared" si="31"/>
        <v>0</v>
      </c>
      <c r="S118" s="229">
        <f t="shared" si="31"/>
        <v>0</v>
      </c>
    </row>
    <row r="119" spans="7:19" x14ac:dyDescent="0.25">
      <c r="H119" s="102" t="s">
        <v>255</v>
      </c>
      <c r="I119" s="102"/>
      <c r="J119" s="102"/>
      <c r="K119" s="102"/>
      <c r="L119" s="102"/>
      <c r="M119" s="102"/>
      <c r="N119" s="102"/>
      <c r="O119" s="102"/>
      <c r="P119" s="102"/>
      <c r="Q119" s="102"/>
      <c r="R119" s="102"/>
      <c r="S119" s="102"/>
    </row>
    <row r="120" spans="7:19" x14ac:dyDescent="0.25">
      <c r="G120" s="150" t="s">
        <v>258</v>
      </c>
      <c r="H120" s="225">
        <f t="shared" ref="H120:S120" si="32">H56/(H31+0.000001)</f>
        <v>0</v>
      </c>
      <c r="I120" s="225">
        <f t="shared" si="32"/>
        <v>0</v>
      </c>
      <c r="J120" s="225">
        <f t="shared" si="32"/>
        <v>0</v>
      </c>
      <c r="K120" s="225">
        <f t="shared" si="32"/>
        <v>0</v>
      </c>
      <c r="L120" s="225">
        <f t="shared" si="32"/>
        <v>0</v>
      </c>
      <c r="M120" s="225">
        <f t="shared" si="32"/>
        <v>0</v>
      </c>
      <c r="N120" s="225">
        <f t="shared" si="32"/>
        <v>0</v>
      </c>
      <c r="O120" s="225">
        <f t="shared" si="32"/>
        <v>0</v>
      </c>
      <c r="P120" s="225">
        <f t="shared" si="32"/>
        <v>0</v>
      </c>
      <c r="Q120" s="225">
        <f t="shared" si="32"/>
        <v>0</v>
      </c>
      <c r="R120" s="225">
        <f t="shared" si="32"/>
        <v>0</v>
      </c>
      <c r="S120" s="225">
        <f t="shared" si="32"/>
        <v>0</v>
      </c>
    </row>
    <row r="121" spans="7:19" x14ac:dyDescent="0.25">
      <c r="G121" s="150" t="s">
        <v>258</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257</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256</v>
      </c>
      <c r="H123" s="225">
        <f>IF(H122*MIN(ABS(H120),ABS(H121))&gt;1,0,H122*MIN(ABS(H120),ABS(H121)))</f>
        <v>0</v>
      </c>
      <c r="I123" s="225">
        <f t="shared" ref="I123:S123" si="35">IF(I122*MIN(ABS(I120),ABS(I121))&gt;1,0,I122*MIN(ABS(I120),ABS(I121)))</f>
        <v>0</v>
      </c>
      <c r="J123" s="225">
        <f t="shared" si="35"/>
        <v>0</v>
      </c>
      <c r="K123" s="225">
        <f t="shared" si="35"/>
        <v>0</v>
      </c>
      <c r="L123" s="225">
        <f t="shared" si="35"/>
        <v>0</v>
      </c>
      <c r="M123" s="225">
        <f t="shared" si="35"/>
        <v>0</v>
      </c>
      <c r="N123" s="225">
        <f t="shared" si="35"/>
        <v>0</v>
      </c>
      <c r="O123" s="225">
        <f t="shared" si="35"/>
        <v>0</v>
      </c>
      <c r="P123" s="225">
        <f t="shared" si="35"/>
        <v>0</v>
      </c>
      <c r="Q123" s="225">
        <f t="shared" si="35"/>
        <v>0</v>
      </c>
      <c r="R123" s="225">
        <f t="shared" si="35"/>
        <v>0</v>
      </c>
      <c r="S123" s="225">
        <f t="shared" si="35"/>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5"/>
      <c r="I126" s="225"/>
      <c r="J126" s="225"/>
      <c r="K126" s="225"/>
      <c r="L126" s="225"/>
      <c r="M126" s="225"/>
      <c r="N126" s="225"/>
      <c r="O126" s="225"/>
      <c r="P126" s="225"/>
      <c r="Q126" s="225"/>
      <c r="R126" s="225"/>
      <c r="S126" s="225"/>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
  <sheetViews>
    <sheetView topLeftCell="A15" zoomScale="75" zoomScaleNormal="75" zoomScalePageLayoutView="75" workbookViewId="0">
      <selection activeCell="B17" sqref="B17"/>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06" t="str">
        <f>'CSs and Loads'!A210</f>
        <v>CS 7</v>
      </c>
      <c r="B1" s="206" t="str">
        <f>'CSs and Loads'!A220</f>
        <v>Bed &amp; Frame</v>
      </c>
    </row>
    <row r="2" spans="1:18" ht="16.5" thickBot="1" x14ac:dyDescent="0.3">
      <c r="A2" s="82" t="s">
        <v>132</v>
      </c>
      <c r="E2" s="177"/>
      <c r="F2" s="177"/>
      <c r="G2" s="177"/>
      <c r="H2" s="177"/>
      <c r="I2" s="243"/>
      <c r="J2" s="177"/>
      <c r="K2" s="177"/>
      <c r="L2" s="244"/>
      <c r="M2" s="244"/>
      <c r="N2" s="208"/>
    </row>
    <row r="3" spans="1:18" x14ac:dyDescent="0.25">
      <c r="A3" s="209" t="s">
        <v>111</v>
      </c>
      <c r="D3" s="242"/>
      <c r="E3" s="368" t="s">
        <v>368</v>
      </c>
      <c r="F3" s="369"/>
      <c r="G3" s="369"/>
      <c r="H3" s="369"/>
      <c r="I3" s="369"/>
      <c r="J3" s="369"/>
      <c r="K3" s="369"/>
      <c r="L3" s="369"/>
      <c r="M3" s="370"/>
      <c r="N3" s="183"/>
      <c r="O3" s="210"/>
      <c r="P3" s="210"/>
      <c r="Q3" s="210"/>
      <c r="R3" s="210"/>
    </row>
    <row r="4" spans="1:18" x14ac:dyDescent="0.25">
      <c r="A4" s="82" t="s">
        <v>319</v>
      </c>
      <c r="B4" s="179" t="s">
        <v>345</v>
      </c>
      <c r="C4" s="82" t="s">
        <v>365</v>
      </c>
      <c r="D4" s="170"/>
      <c r="E4" s="377" t="s">
        <v>347</v>
      </c>
      <c r="F4" s="378"/>
      <c r="G4" s="378"/>
      <c r="H4" s="378"/>
      <c r="I4" s="378"/>
      <c r="J4" s="378"/>
      <c r="K4" s="378"/>
      <c r="L4" s="378"/>
      <c r="M4" s="379"/>
      <c r="N4" s="205"/>
    </row>
    <row r="5" spans="1:18" x14ac:dyDescent="0.25">
      <c r="A5" s="114" t="s">
        <v>335</v>
      </c>
      <c r="B5" s="118" t="s">
        <v>336</v>
      </c>
      <c r="C5" s="102" t="s">
        <v>363</v>
      </c>
      <c r="D5" s="170">
        <v>25</v>
      </c>
      <c r="E5" s="184" t="s">
        <v>282</v>
      </c>
      <c r="F5" s="353" t="s">
        <v>285</v>
      </c>
      <c r="G5" s="158">
        <f>(B12/4)/(B16*B7)</f>
        <v>5.7058085130663014E-7</v>
      </c>
      <c r="H5" s="81">
        <v>0</v>
      </c>
      <c r="I5" s="81">
        <v>0</v>
      </c>
      <c r="J5" s="81">
        <v>0</v>
      </c>
      <c r="K5" s="81">
        <v>0</v>
      </c>
      <c r="L5" s="159">
        <f>-(B11/(3*B7*B18*B12))*(2*B11^2+B12^2-3*B11*B12)</f>
        <v>-8.2993746628438785E-10</v>
      </c>
      <c r="M5" s="185" t="s">
        <v>276</v>
      </c>
      <c r="N5" s="183"/>
    </row>
    <row r="6" spans="1:18" x14ac:dyDescent="0.25">
      <c r="A6" s="114" t="s">
        <v>338</v>
      </c>
      <c r="B6" s="118" t="s">
        <v>286</v>
      </c>
      <c r="C6" s="102" t="s">
        <v>32</v>
      </c>
      <c r="D6" s="170">
        <f>1770*9.8</f>
        <v>17346</v>
      </c>
      <c r="E6" s="184" t="s">
        <v>283</v>
      </c>
      <c r="F6" s="353"/>
      <c r="G6" s="81">
        <v>0</v>
      </c>
      <c r="H6" s="159">
        <f>(B14/4)/(B16*B7)</f>
        <v>5.7058085130663014E-7</v>
      </c>
      <c r="I6" s="81">
        <v>0</v>
      </c>
      <c r="J6" s="81">
        <v>0</v>
      </c>
      <c r="K6" s="154">
        <v>0</v>
      </c>
      <c r="L6" s="81">
        <v>0</v>
      </c>
      <c r="M6" s="185" t="s">
        <v>277</v>
      </c>
      <c r="N6" s="183"/>
    </row>
    <row r="7" spans="1:18" x14ac:dyDescent="0.25">
      <c r="A7" s="102" t="s">
        <v>291</v>
      </c>
      <c r="B7" s="82">
        <f>69000</f>
        <v>69000</v>
      </c>
      <c r="C7" s="102" t="s">
        <v>242</v>
      </c>
      <c r="D7" s="170">
        <f>647*1000</f>
        <v>647000</v>
      </c>
      <c r="E7" s="184" t="s">
        <v>284</v>
      </c>
      <c r="F7" s="353"/>
      <c r="G7" s="81">
        <v>0</v>
      </c>
      <c r="H7" s="81">
        <v>0</v>
      </c>
      <c r="I7" s="159">
        <f>(B11^2/(3*B7*B18*B12))*(B12^2-2*B11*B12+B11^2)</f>
        <v>5.8389034875462235E-9</v>
      </c>
      <c r="J7" s="202">
        <f>I8</f>
        <v>2.7103386398944436E-9</v>
      </c>
      <c r="K7" s="99"/>
      <c r="L7" s="81">
        <v>0</v>
      </c>
      <c r="M7" s="185" t="s">
        <v>278</v>
      </c>
      <c r="N7" s="183"/>
    </row>
    <row r="8" spans="1:18" x14ac:dyDescent="0.25">
      <c r="A8" s="102" t="s">
        <v>287</v>
      </c>
      <c r="B8" s="82">
        <v>0.33400000000000002</v>
      </c>
      <c r="C8" s="102" t="s">
        <v>33</v>
      </c>
      <c r="D8" s="170">
        <v>3</v>
      </c>
      <c r="E8" s="184" t="s">
        <v>273</v>
      </c>
      <c r="F8" s="353"/>
      <c r="G8" s="81">
        <v>0</v>
      </c>
      <c r="H8" s="81">
        <v>0</v>
      </c>
      <c r="I8" s="202">
        <f>(B11/(B7*B17*B12))*(2*B11^2-3*B11*B12+B12^2)</f>
        <v>2.7103386398944436E-9</v>
      </c>
      <c r="J8" s="159">
        <f>(1/(3*B7*B17*B12))*(2*B12^2+3*B11^2-3*B11*B12)</f>
        <v>2.6008955192453184E-10</v>
      </c>
      <c r="K8" s="81">
        <v>0</v>
      </c>
      <c r="L8" s="81">
        <v>0</v>
      </c>
      <c r="M8" s="185" t="s">
        <v>279</v>
      </c>
      <c r="N8" s="183"/>
    </row>
    <row r="9" spans="1:18" x14ac:dyDescent="0.25">
      <c r="A9" s="102" t="s">
        <v>292</v>
      </c>
      <c r="B9" s="98">
        <f>B7/(2*(1+B8))</f>
        <v>25862.068965517239</v>
      </c>
      <c r="C9" s="102" t="s">
        <v>34</v>
      </c>
      <c r="D9" s="170">
        <v>0.01</v>
      </c>
      <c r="E9" s="184" t="s">
        <v>275</v>
      </c>
      <c r="F9" s="353"/>
      <c r="G9" s="81">
        <v>0</v>
      </c>
      <c r="H9" s="81">
        <v>0</v>
      </c>
      <c r="I9" s="81">
        <v>0</v>
      </c>
      <c r="J9" s="81">
        <v>0</v>
      </c>
      <c r="K9" s="159">
        <f>(1/(3*B7*B18*B12))*(2*B12^2+3*B11^2-3*B11*B12)</f>
        <v>2.3892740990442565E-10</v>
      </c>
      <c r="L9" s="81">
        <v>0</v>
      </c>
      <c r="M9" s="185" t="s">
        <v>280</v>
      </c>
      <c r="N9" s="183"/>
    </row>
    <row r="10" spans="1:18" ht="16.5" thickBot="1" x14ac:dyDescent="0.3">
      <c r="A10" s="81" t="s">
        <v>339</v>
      </c>
      <c r="B10" s="82"/>
      <c r="C10" s="102" t="s">
        <v>288</v>
      </c>
      <c r="D10" s="238">
        <f>D6/(D8*D9)</f>
        <v>578200</v>
      </c>
      <c r="E10" s="186" t="s">
        <v>274</v>
      </c>
      <c r="F10" s="381"/>
      <c r="G10" s="203">
        <f>L5</f>
        <v>-8.2993746628438785E-10</v>
      </c>
      <c r="H10" s="167">
        <v>0</v>
      </c>
      <c r="I10" s="167">
        <v>0</v>
      </c>
      <c r="J10" s="167">
        <v>0</v>
      </c>
      <c r="K10" s="167">
        <v>0</v>
      </c>
      <c r="L10" s="201">
        <v>0</v>
      </c>
      <c r="M10" s="189" t="s">
        <v>281</v>
      </c>
      <c r="N10" s="183"/>
    </row>
    <row r="11" spans="1:18" x14ac:dyDescent="0.25">
      <c r="A11" s="150" t="s">
        <v>342</v>
      </c>
      <c r="B11" s="83">
        <f>'CS_5 Workpiece'!B11</f>
        <v>7</v>
      </c>
      <c r="C11" s="102" t="s">
        <v>35</v>
      </c>
      <c r="D11" s="82">
        <v>25</v>
      </c>
      <c r="E11" s="163"/>
      <c r="F11" s="163"/>
      <c r="G11" s="164"/>
      <c r="H11" s="164"/>
      <c r="I11" s="164"/>
      <c r="J11" s="164"/>
      <c r="K11" s="164"/>
      <c r="L11" s="165"/>
      <c r="M11" s="164"/>
    </row>
    <row r="12" spans="1:18" x14ac:dyDescent="0.25">
      <c r="A12" s="102" t="s">
        <v>233</v>
      </c>
      <c r="B12" s="82">
        <f>B14</f>
        <v>1400</v>
      </c>
      <c r="C12" s="102" t="s">
        <v>375</v>
      </c>
      <c r="D12" s="101">
        <f>D7*D11^2/4</f>
        <v>101093750</v>
      </c>
      <c r="E12" s="82"/>
      <c r="F12" s="82"/>
      <c r="L12" s="150"/>
    </row>
    <row r="13" spans="1:18" x14ac:dyDescent="0.25">
      <c r="A13" s="102" t="s">
        <v>355</v>
      </c>
      <c r="B13" s="82">
        <f>6*25.4</f>
        <v>152.39999999999998</v>
      </c>
      <c r="C13" s="102" t="s">
        <v>289</v>
      </c>
      <c r="D13" s="101">
        <f>D7*D11^2/12</f>
        <v>33697916.666666664</v>
      </c>
      <c r="E13" s="82"/>
      <c r="F13" s="82"/>
      <c r="L13" s="150"/>
    </row>
    <row r="14" spans="1:18" x14ac:dyDescent="0.25">
      <c r="A14" s="102" t="s">
        <v>353</v>
      </c>
      <c r="B14" s="82">
        <v>1400</v>
      </c>
      <c r="C14" s="102" t="s">
        <v>290</v>
      </c>
      <c r="D14" s="98">
        <f>D13</f>
        <v>33697916.666666664</v>
      </c>
      <c r="E14" s="82"/>
      <c r="F14" s="82"/>
      <c r="L14" s="150"/>
    </row>
    <row r="15" spans="1:18" x14ac:dyDescent="0.25">
      <c r="A15" s="102" t="s">
        <v>271</v>
      </c>
      <c r="B15" s="82">
        <f>0.125*25.4</f>
        <v>3.1749999999999998</v>
      </c>
      <c r="C15" s="114" t="s">
        <v>364</v>
      </c>
      <c r="D15" s="82"/>
      <c r="E15" s="82"/>
      <c r="F15" s="82"/>
      <c r="L15" s="150"/>
    </row>
    <row r="16" spans="1:18" x14ac:dyDescent="0.25">
      <c r="A16" s="102" t="s">
        <v>272</v>
      </c>
      <c r="B16" s="98">
        <f>2*B15*B14</f>
        <v>8890</v>
      </c>
      <c r="C16" s="115" t="s">
        <v>267</v>
      </c>
      <c r="D16" s="82"/>
      <c r="E16" s="82"/>
      <c r="F16" s="82"/>
      <c r="L16" s="150"/>
    </row>
    <row r="17" spans="1:19" x14ac:dyDescent="0.25">
      <c r="A17" s="102" t="s">
        <v>358</v>
      </c>
      <c r="B17" s="99">
        <f>2*(B15*B14)*(B13/2)^2</f>
        <v>51619251.599999987</v>
      </c>
      <c r="C17" s="116" t="s">
        <v>269</v>
      </c>
      <c r="D17" s="82">
        <v>18</v>
      </c>
      <c r="E17" s="82"/>
      <c r="F17" s="82"/>
      <c r="L17" s="150"/>
    </row>
    <row r="18" spans="1:19" x14ac:dyDescent="0.25">
      <c r="A18" s="102" t="s">
        <v>357</v>
      </c>
      <c r="B18" s="99">
        <f>2*(B15*(10*B13))*(B13/2)^2</f>
        <v>56191242.455999978</v>
      </c>
      <c r="C18" s="116" t="s">
        <v>233</v>
      </c>
      <c r="D18" s="82">
        <v>2500</v>
      </c>
      <c r="E18" s="82"/>
      <c r="F18" s="82"/>
      <c r="L18" s="150"/>
    </row>
    <row r="19" spans="1:19" x14ac:dyDescent="0.25">
      <c r="A19" s="102" t="s">
        <v>235</v>
      </c>
      <c r="B19" s="99">
        <f>2*B15*B15*(B13-B15)^2*(B14-B15)^2/(B13*B15+B14*B15-2*B15^2)</f>
        <v>178450333.5087992</v>
      </c>
      <c r="C19" s="102" t="s">
        <v>54</v>
      </c>
      <c r="D19" s="117">
        <v>200000</v>
      </c>
      <c r="E19" s="82"/>
      <c r="F19" s="82"/>
      <c r="L19" s="150"/>
    </row>
    <row r="20" spans="1:19" x14ac:dyDescent="0.25">
      <c r="A20" s="102" t="s">
        <v>333</v>
      </c>
      <c r="B20" s="98">
        <f>B18/B16</f>
        <v>6320.7246857142836</v>
      </c>
      <c r="C20" s="116" t="s">
        <v>268</v>
      </c>
      <c r="D20" s="99">
        <f>PI()*D17^2/4*D19/D18</f>
        <v>20357.520395261861</v>
      </c>
      <c r="E20" s="82"/>
      <c r="F20" s="82"/>
      <c r="L20" s="150"/>
    </row>
    <row r="21" spans="1:19" ht="16.5" thickBot="1" x14ac:dyDescent="0.3">
      <c r="A21" s="240" t="s">
        <v>313</v>
      </c>
      <c r="B21" s="246">
        <f>3*B7*B18/B12^3</f>
        <v>4238.9166138454793</v>
      </c>
      <c r="C21" s="240" t="s">
        <v>318</v>
      </c>
      <c r="D21" s="230">
        <v>3</v>
      </c>
      <c r="E21" s="230"/>
      <c r="F21" s="230"/>
      <c r="G21" s="177"/>
      <c r="H21" s="177"/>
      <c r="I21" s="177"/>
      <c r="J21" s="177"/>
      <c r="K21" s="177"/>
      <c r="L21" s="252"/>
      <c r="M21" s="177"/>
    </row>
    <row r="22" spans="1:19" ht="15" customHeight="1" thickBot="1" x14ac:dyDescent="0.3">
      <c r="A22" s="394" t="s">
        <v>359</v>
      </c>
      <c r="B22" s="395"/>
      <c r="C22" s="395"/>
      <c r="D22" s="395"/>
      <c r="E22" s="395"/>
      <c r="F22" s="395"/>
      <c r="G22" s="395"/>
      <c r="H22" s="395"/>
      <c r="I22" s="395"/>
      <c r="J22" s="395"/>
      <c r="K22" s="395"/>
      <c r="L22" s="395"/>
      <c r="M22" s="396"/>
      <c r="N22" s="251"/>
    </row>
    <row r="23" spans="1:19" ht="31.5" x14ac:dyDescent="0.25">
      <c r="A23" s="276" t="s">
        <v>370</v>
      </c>
      <c r="B23" s="233"/>
      <c r="C23" s="241" t="s">
        <v>265</v>
      </c>
      <c r="D23" s="164"/>
      <c r="E23" s="164"/>
      <c r="F23" s="164"/>
      <c r="G23" s="164"/>
      <c r="H23" s="164"/>
      <c r="I23" s="164"/>
      <c r="J23" s="164"/>
      <c r="K23" s="164"/>
      <c r="L23" s="164"/>
      <c r="M23" s="164"/>
      <c r="O23" s="210"/>
      <c r="P23" s="210"/>
      <c r="Q23" s="210"/>
      <c r="R23" s="210"/>
    </row>
    <row r="24" spans="1:19" x14ac:dyDescent="0.25">
      <c r="A24" s="102" t="s">
        <v>3</v>
      </c>
      <c r="B24" s="107"/>
      <c r="C24" s="155"/>
      <c r="O24" s="210"/>
      <c r="P24" s="210"/>
      <c r="Q24" s="210"/>
      <c r="R24" s="210"/>
    </row>
    <row r="25" spans="1:19" x14ac:dyDescent="0.25">
      <c r="A25" s="218" t="s">
        <v>117</v>
      </c>
      <c r="B25" s="153">
        <f>SUM(H34:S34)+C25</f>
        <v>400000000</v>
      </c>
      <c r="C25" s="219">
        <v>0</v>
      </c>
      <c r="G25" s="243" t="s">
        <v>184</v>
      </c>
      <c r="O25" s="210"/>
      <c r="P25" s="210"/>
      <c r="Q25" s="210"/>
      <c r="R25" s="210"/>
    </row>
    <row r="26" spans="1:19" x14ac:dyDescent="0.25">
      <c r="A26" s="218" t="s">
        <v>118</v>
      </c>
      <c r="B26" s="153">
        <f>SUM(H35:S35)+C26</f>
        <v>400000000</v>
      </c>
      <c r="C26" s="219">
        <v>0</v>
      </c>
      <c r="G26" s="82" t="s">
        <v>124</v>
      </c>
      <c r="O26" s="210"/>
      <c r="P26" s="210"/>
      <c r="Q26" s="210"/>
      <c r="R26" s="210"/>
    </row>
    <row r="27" spans="1:19" x14ac:dyDescent="0.25">
      <c r="A27" s="218" t="s">
        <v>119</v>
      </c>
      <c r="B27" s="153">
        <f>SUM(H36:S36)+C27</f>
        <v>400000000</v>
      </c>
      <c r="C27" s="219">
        <v>0</v>
      </c>
      <c r="D27" s="88"/>
      <c r="E27" s="88"/>
      <c r="F27" s="88"/>
      <c r="G27" s="213" t="s">
        <v>133</v>
      </c>
      <c r="H27" s="214">
        <v>4</v>
      </c>
      <c r="O27" s="210"/>
      <c r="P27" s="210"/>
      <c r="Q27" s="210"/>
      <c r="R27" s="210"/>
    </row>
    <row r="28" spans="1:19" x14ac:dyDescent="0.25">
      <c r="A28" s="102" t="s">
        <v>115</v>
      </c>
      <c r="B28" s="107"/>
      <c r="C28" s="200"/>
      <c r="D28" s="88"/>
      <c r="E28" s="88"/>
      <c r="F28" s="88"/>
      <c r="H28" s="365" t="s">
        <v>129</v>
      </c>
      <c r="I28" s="365"/>
      <c r="J28" s="365"/>
      <c r="K28" s="365"/>
      <c r="L28" s="365"/>
      <c r="M28" s="365"/>
      <c r="N28" s="365"/>
      <c r="O28" s="365"/>
      <c r="P28" s="365"/>
      <c r="Q28" s="365"/>
      <c r="R28" s="365"/>
      <c r="S28" s="365"/>
    </row>
    <row r="29" spans="1:19" x14ac:dyDescent="0.25">
      <c r="A29" s="218" t="s">
        <v>8</v>
      </c>
      <c r="B29" s="153">
        <f>SUM(H38:S38)+SUM(H42:S42)+C29</f>
        <v>4000404375000</v>
      </c>
      <c r="C29" s="219">
        <v>0</v>
      </c>
      <c r="D29" s="88"/>
      <c r="E29" s="88"/>
      <c r="F29" s="88"/>
      <c r="G29" s="82" t="s">
        <v>114</v>
      </c>
      <c r="H29" s="87">
        <v>1</v>
      </c>
      <c r="I29" s="87">
        <f>H29+1</f>
        <v>2</v>
      </c>
      <c r="J29" s="87">
        <f t="shared" ref="J29:R29" si="0">I29+1</f>
        <v>3</v>
      </c>
      <c r="K29" s="87">
        <f t="shared" si="0"/>
        <v>4</v>
      </c>
      <c r="L29" s="87">
        <f t="shared" si="0"/>
        <v>5</v>
      </c>
      <c r="M29" s="87">
        <f t="shared" si="0"/>
        <v>6</v>
      </c>
      <c r="N29" s="87">
        <f t="shared" si="0"/>
        <v>7</v>
      </c>
      <c r="O29" s="87">
        <f t="shared" si="0"/>
        <v>8</v>
      </c>
      <c r="P29" s="87">
        <f>O29+1</f>
        <v>9</v>
      </c>
      <c r="Q29" s="87">
        <f t="shared" si="0"/>
        <v>10</v>
      </c>
      <c r="R29" s="87">
        <f t="shared" si="0"/>
        <v>11</v>
      </c>
      <c r="S29" s="87">
        <f>R29+1</f>
        <v>12</v>
      </c>
    </row>
    <row r="30" spans="1:19" x14ac:dyDescent="0.25">
      <c r="A30" s="218" t="s">
        <v>120</v>
      </c>
      <c r="B30" s="153">
        <f>SUM(H39:S39)+SUM(H43:S43)+C30</f>
        <v>4000134791666.6665</v>
      </c>
      <c r="C30" s="219">
        <v>0</v>
      </c>
      <c r="D30" s="88"/>
      <c r="E30" s="88"/>
      <c r="F30" s="88"/>
      <c r="G30" s="102" t="s">
        <v>42</v>
      </c>
      <c r="H30" s="214">
        <v>100</v>
      </c>
      <c r="I30" s="214">
        <v>-100</v>
      </c>
      <c r="J30" s="214">
        <v>-100</v>
      </c>
      <c r="K30" s="214">
        <v>100</v>
      </c>
      <c r="L30" s="214">
        <v>0</v>
      </c>
      <c r="M30" s="214">
        <v>0</v>
      </c>
      <c r="N30" s="214">
        <v>0</v>
      </c>
      <c r="O30" s="214">
        <v>0</v>
      </c>
      <c r="P30" s="214">
        <v>0</v>
      </c>
      <c r="Q30" s="214">
        <v>0</v>
      </c>
      <c r="R30" s="214">
        <v>0</v>
      </c>
      <c r="S30" s="214">
        <v>0</v>
      </c>
    </row>
    <row r="31" spans="1:19" x14ac:dyDescent="0.25">
      <c r="A31" s="218" t="s">
        <v>116</v>
      </c>
      <c r="B31" s="153">
        <f>SUM(H40:S40)+SUM(H44:S44)+C31</f>
        <v>8000134791666.667</v>
      </c>
      <c r="C31" s="219">
        <v>0</v>
      </c>
      <c r="D31" s="88"/>
      <c r="E31" s="88"/>
      <c r="F31" s="88"/>
      <c r="G31" s="102" t="s">
        <v>43</v>
      </c>
      <c r="H31" s="214">
        <v>100</v>
      </c>
      <c r="I31" s="214">
        <v>100</v>
      </c>
      <c r="J31" s="214">
        <v>-100</v>
      </c>
      <c r="K31" s="214">
        <v>-100</v>
      </c>
      <c r="L31" s="214">
        <v>0</v>
      </c>
      <c r="M31" s="214">
        <v>0</v>
      </c>
      <c r="N31" s="214">
        <v>0</v>
      </c>
      <c r="O31" s="214">
        <v>0</v>
      </c>
      <c r="P31" s="214">
        <v>0</v>
      </c>
      <c r="Q31" s="214">
        <v>0</v>
      </c>
      <c r="R31" s="214">
        <v>0</v>
      </c>
      <c r="S31" s="214">
        <v>0</v>
      </c>
    </row>
    <row r="32" spans="1:19" x14ac:dyDescent="0.25">
      <c r="A32" s="366" t="s">
        <v>189</v>
      </c>
      <c r="B32" s="366"/>
      <c r="C32" s="366"/>
      <c r="D32" s="88"/>
      <c r="E32" s="88"/>
      <c r="F32" s="88"/>
      <c r="G32" s="102" t="s">
        <v>44</v>
      </c>
      <c r="H32" s="214">
        <v>0</v>
      </c>
      <c r="I32" s="214">
        <v>0</v>
      </c>
      <c r="J32" s="214">
        <v>0</v>
      </c>
      <c r="K32" s="214">
        <v>0</v>
      </c>
      <c r="L32" s="214">
        <v>0</v>
      </c>
      <c r="M32" s="214">
        <v>0</v>
      </c>
      <c r="N32" s="214">
        <v>0</v>
      </c>
      <c r="O32" s="214">
        <v>0</v>
      </c>
      <c r="P32" s="214">
        <v>0</v>
      </c>
      <c r="Q32" s="214">
        <v>0</v>
      </c>
      <c r="R32" s="214">
        <v>0</v>
      </c>
      <c r="S32" s="214">
        <v>0</v>
      </c>
    </row>
    <row r="33" spans="1:19" x14ac:dyDescent="0.25">
      <c r="A33" s="366"/>
      <c r="B33" s="366"/>
      <c r="C33" s="366"/>
      <c r="G33" s="82" t="s">
        <v>130</v>
      </c>
      <c r="H33" s="367"/>
      <c r="I33" s="367"/>
      <c r="J33" s="367"/>
      <c r="K33" s="367"/>
    </row>
    <row r="34" spans="1:19" x14ac:dyDescent="0.25">
      <c r="A34" s="366"/>
      <c r="B34" s="366"/>
      <c r="C34" s="366"/>
      <c r="D34" s="88"/>
      <c r="E34" s="88"/>
      <c r="F34" s="88"/>
      <c r="G34" s="102" t="s">
        <v>117</v>
      </c>
      <c r="H34" s="275">
        <v>100000000</v>
      </c>
      <c r="I34" s="275">
        <v>100000000</v>
      </c>
      <c r="J34" s="275">
        <v>100000000</v>
      </c>
      <c r="K34" s="275">
        <v>100000000</v>
      </c>
      <c r="L34" s="214">
        <v>0</v>
      </c>
      <c r="M34" s="214">
        <v>0</v>
      </c>
      <c r="N34" s="214">
        <v>0</v>
      </c>
      <c r="O34" s="214">
        <v>0</v>
      </c>
      <c r="P34" s="214">
        <v>0</v>
      </c>
      <c r="Q34" s="214">
        <v>0</v>
      </c>
      <c r="R34" s="214">
        <v>0</v>
      </c>
      <c r="S34" s="214">
        <v>0</v>
      </c>
    </row>
    <row r="35" spans="1:19" x14ac:dyDescent="0.25">
      <c r="A35" s="221" t="s">
        <v>185</v>
      </c>
      <c r="B35" s="214"/>
      <c r="C35" s="214"/>
      <c r="D35" s="88"/>
      <c r="E35" s="88"/>
      <c r="F35" s="88"/>
      <c r="G35" s="102" t="s">
        <v>118</v>
      </c>
      <c r="H35" s="275">
        <v>100000000</v>
      </c>
      <c r="I35" s="275">
        <v>100000000</v>
      </c>
      <c r="J35" s="275">
        <v>100000000</v>
      </c>
      <c r="K35" s="275">
        <v>100000000</v>
      </c>
      <c r="L35" s="214">
        <v>0</v>
      </c>
      <c r="M35" s="214">
        <v>0</v>
      </c>
      <c r="N35" s="214">
        <v>0</v>
      </c>
      <c r="O35" s="214">
        <v>0</v>
      </c>
      <c r="P35" s="214">
        <v>0</v>
      </c>
      <c r="Q35" s="214">
        <v>0</v>
      </c>
      <c r="R35" s="214">
        <v>0</v>
      </c>
      <c r="S35" s="214">
        <v>0</v>
      </c>
    </row>
    <row r="36" spans="1:19" x14ac:dyDescent="0.25">
      <c r="A36" s="81" t="s">
        <v>109</v>
      </c>
      <c r="D36" s="88"/>
      <c r="E36" s="88"/>
      <c r="F36" s="88"/>
      <c r="G36" s="102" t="s">
        <v>119</v>
      </c>
      <c r="H36" s="275">
        <v>100000000</v>
      </c>
      <c r="I36" s="275">
        <v>100000000</v>
      </c>
      <c r="J36" s="275">
        <v>100000000</v>
      </c>
      <c r="K36" s="275">
        <v>100000000</v>
      </c>
      <c r="L36" s="214">
        <v>0</v>
      </c>
      <c r="M36" s="214">
        <v>0</v>
      </c>
      <c r="N36" s="214">
        <v>0</v>
      </c>
      <c r="O36" s="214">
        <v>0</v>
      </c>
      <c r="P36" s="214">
        <v>0</v>
      </c>
      <c r="Q36" s="214">
        <v>0</v>
      </c>
      <c r="R36" s="214">
        <v>0</v>
      </c>
      <c r="S36" s="214">
        <v>0</v>
      </c>
    </row>
    <row r="37" spans="1:19" x14ac:dyDescent="0.25">
      <c r="A37" s="102" t="s">
        <v>186</v>
      </c>
      <c r="B37" s="214">
        <v>0</v>
      </c>
      <c r="D37" s="88"/>
      <c r="E37" s="88"/>
      <c r="F37" s="88"/>
      <c r="G37" s="82" t="s">
        <v>131</v>
      </c>
      <c r="H37" s="367"/>
      <c r="I37" s="367"/>
      <c r="J37" s="367"/>
      <c r="K37" s="367"/>
    </row>
    <row r="38" spans="1:19" x14ac:dyDescent="0.25">
      <c r="A38" s="102" t="s">
        <v>187</v>
      </c>
      <c r="B38" s="214">
        <v>0</v>
      </c>
      <c r="D38" s="88"/>
      <c r="E38" s="88"/>
      <c r="F38" s="88"/>
      <c r="G38" s="102" t="s">
        <v>8</v>
      </c>
      <c r="H38" s="142">
        <f>D12</f>
        <v>101093750</v>
      </c>
      <c r="I38" s="142">
        <f>H38</f>
        <v>101093750</v>
      </c>
      <c r="J38" s="142">
        <f t="shared" ref="J38:K38" si="1">I38</f>
        <v>101093750</v>
      </c>
      <c r="K38" s="142">
        <f t="shared" si="1"/>
        <v>101093750</v>
      </c>
      <c r="L38" s="214">
        <v>0</v>
      </c>
      <c r="M38" s="214">
        <v>0</v>
      </c>
      <c r="N38" s="214">
        <v>0</v>
      </c>
      <c r="O38" s="214">
        <v>0</v>
      </c>
      <c r="P38" s="214">
        <v>0</v>
      </c>
      <c r="Q38" s="214">
        <v>0</v>
      </c>
      <c r="R38" s="214">
        <v>0</v>
      </c>
      <c r="S38" s="214">
        <v>0</v>
      </c>
    </row>
    <row r="39" spans="1:19" x14ac:dyDescent="0.25">
      <c r="A39" s="102" t="s">
        <v>188</v>
      </c>
      <c r="B39" s="214">
        <v>0</v>
      </c>
      <c r="D39" s="88"/>
      <c r="E39" s="88"/>
      <c r="F39" s="88"/>
      <c r="G39" s="102" t="s">
        <v>120</v>
      </c>
      <c r="H39" s="142">
        <f>D14</f>
        <v>33697916.666666664</v>
      </c>
      <c r="I39" s="142">
        <f t="shared" ref="I39:K40" si="2">H39</f>
        <v>33697916.666666664</v>
      </c>
      <c r="J39" s="142">
        <f t="shared" si="2"/>
        <v>33697916.666666664</v>
      </c>
      <c r="K39" s="142">
        <f t="shared" si="2"/>
        <v>33697916.666666664</v>
      </c>
      <c r="L39" s="214">
        <v>0</v>
      </c>
      <c r="M39" s="214">
        <v>0</v>
      </c>
      <c r="N39" s="214">
        <v>0</v>
      </c>
      <c r="O39" s="214">
        <v>0</v>
      </c>
      <c r="P39" s="214">
        <v>0</v>
      </c>
      <c r="Q39" s="214">
        <v>0</v>
      </c>
      <c r="R39" s="214">
        <v>0</v>
      </c>
      <c r="S39" s="214">
        <v>0</v>
      </c>
    </row>
    <row r="40" spans="1:19" x14ac:dyDescent="0.25">
      <c r="A40" s="150" t="s">
        <v>110</v>
      </c>
      <c r="G40" s="102" t="s">
        <v>116</v>
      </c>
      <c r="H40" s="142">
        <f>D13</f>
        <v>33697916.666666664</v>
      </c>
      <c r="I40" s="142">
        <f t="shared" si="2"/>
        <v>33697916.666666664</v>
      </c>
      <c r="J40" s="142">
        <f t="shared" si="2"/>
        <v>33697916.666666664</v>
      </c>
      <c r="K40" s="142">
        <f t="shared" si="2"/>
        <v>33697916.666666664</v>
      </c>
      <c r="L40" s="214">
        <v>0</v>
      </c>
      <c r="M40" s="214">
        <v>0</v>
      </c>
      <c r="N40" s="214">
        <v>0</v>
      </c>
      <c r="O40" s="214">
        <v>0</v>
      </c>
      <c r="P40" s="214">
        <v>0</v>
      </c>
      <c r="Q40" s="214">
        <v>0</v>
      </c>
      <c r="R40" s="214">
        <v>0</v>
      </c>
      <c r="S40" s="214">
        <v>0</v>
      </c>
    </row>
    <row r="41" spans="1:19" x14ac:dyDescent="0.25">
      <c r="A41" s="102" t="s">
        <v>186</v>
      </c>
      <c r="B41" s="214">
        <v>0</v>
      </c>
      <c r="D41" s="217"/>
      <c r="E41" s="217"/>
      <c r="F41" s="217"/>
      <c r="G41" s="82" t="s">
        <v>125</v>
      </c>
    </row>
    <row r="42" spans="1:19" x14ac:dyDescent="0.25">
      <c r="A42" s="102" t="s">
        <v>187</v>
      </c>
      <c r="B42" s="214">
        <v>0</v>
      </c>
      <c r="D42" s="155"/>
      <c r="E42" s="155"/>
      <c r="F42" s="155"/>
      <c r="G42" s="102" t="s">
        <v>8</v>
      </c>
      <c r="H42" s="153">
        <f>H35*H32^2+H36*H31^2</f>
        <v>1000000000000</v>
      </c>
      <c r="I42" s="153">
        <f t="shared" ref="I42:S42" si="3">I35*I32^2+I36*I31^2</f>
        <v>1000000000000</v>
      </c>
      <c r="J42" s="153">
        <f t="shared" si="3"/>
        <v>1000000000000</v>
      </c>
      <c r="K42" s="153">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188</v>
      </c>
      <c r="B43" s="214">
        <v>0</v>
      </c>
      <c r="D43" s="219"/>
      <c r="E43" s="219"/>
      <c r="F43" s="219"/>
      <c r="G43" s="102" t="s">
        <v>120</v>
      </c>
      <c r="H43" s="153">
        <f>H34*H32^2+H36*H30^2</f>
        <v>1000000000000</v>
      </c>
      <c r="I43" s="153">
        <f t="shared" ref="I43:S43" si="4">I34*I32^2+I36*I30^2</f>
        <v>1000000000000</v>
      </c>
      <c r="J43" s="153">
        <f t="shared" si="4"/>
        <v>1000000000000</v>
      </c>
      <c r="K43" s="153">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5" t="s">
        <v>206</v>
      </c>
      <c r="C44" s="88"/>
      <c r="D44" s="219"/>
      <c r="E44" s="219"/>
      <c r="F44" s="219"/>
      <c r="G44" s="102" t="s">
        <v>116</v>
      </c>
      <c r="H44" s="153">
        <f>H34*H31^2+H35*H30^2</f>
        <v>2000000000000</v>
      </c>
      <c r="I44" s="153">
        <f t="shared" ref="I44:S44" si="5">I34*I31^2+I35*I30^2</f>
        <v>2000000000000</v>
      </c>
      <c r="J44" s="153">
        <f t="shared" si="5"/>
        <v>2000000000000</v>
      </c>
      <c r="K44" s="153">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8"/>
      <c r="D45" s="219"/>
      <c r="E45" s="219"/>
      <c r="F45" s="219"/>
      <c r="G45" s="82" t="s">
        <v>307</v>
      </c>
    </row>
    <row r="46" spans="1:19" x14ac:dyDescent="0.25">
      <c r="A46" s="102" t="s">
        <v>122</v>
      </c>
      <c r="B46" s="105">
        <f>SQRT((H47^2+I47^2+J47^2+K47^2+L47^2+M47^2+N47^2+O47^2+P47^2+Q47^2+R47^2+S47^2)/H$27)</f>
        <v>5.0000000000000001E-3</v>
      </c>
      <c r="C46" s="88"/>
      <c r="D46" s="200"/>
      <c r="E46" s="200"/>
      <c r="F46" s="200"/>
      <c r="G46" s="102" t="s">
        <v>121</v>
      </c>
      <c r="H46" s="214">
        <f t="shared" ref="H46:K48" si="6">0.005</f>
        <v>5.0000000000000001E-3</v>
      </c>
      <c r="I46" s="214">
        <f t="shared" si="6"/>
        <v>5.0000000000000001E-3</v>
      </c>
      <c r="J46" s="214">
        <f t="shared" si="6"/>
        <v>5.0000000000000001E-3</v>
      </c>
      <c r="K46" s="214">
        <f t="shared" si="6"/>
        <v>5.0000000000000001E-3</v>
      </c>
      <c r="L46" s="214">
        <v>0</v>
      </c>
      <c r="M46" s="214">
        <v>0</v>
      </c>
      <c r="N46" s="214">
        <v>0</v>
      </c>
      <c r="O46" s="214">
        <v>0</v>
      </c>
      <c r="P46" s="214">
        <v>0</v>
      </c>
      <c r="Q46" s="214">
        <v>0</v>
      </c>
      <c r="R46" s="214">
        <v>0</v>
      </c>
      <c r="S46" s="214">
        <v>0</v>
      </c>
    </row>
    <row r="47" spans="1:19" x14ac:dyDescent="0.25">
      <c r="A47" s="102" t="s">
        <v>123</v>
      </c>
      <c r="B47" s="105">
        <f>SQRT((H48^2+I48^2+J48^2+K48^2+L48^2+M48^2+N48^2+O48^2+P48^2+Q48^2+R48^2+S48^2)/H$27)</f>
        <v>5.0000000000000001E-3</v>
      </c>
      <c r="C47" s="88"/>
      <c r="D47" s="219"/>
      <c r="E47" s="219"/>
      <c r="F47" s="219"/>
      <c r="G47" s="102" t="s">
        <v>122</v>
      </c>
      <c r="H47" s="214">
        <f t="shared" si="6"/>
        <v>5.0000000000000001E-3</v>
      </c>
      <c r="I47" s="214">
        <f t="shared" si="6"/>
        <v>5.0000000000000001E-3</v>
      </c>
      <c r="J47" s="214">
        <f t="shared" si="6"/>
        <v>5.0000000000000001E-3</v>
      </c>
      <c r="K47" s="214">
        <f t="shared" si="6"/>
        <v>5.0000000000000001E-3</v>
      </c>
      <c r="L47" s="214">
        <v>0</v>
      </c>
      <c r="M47" s="214">
        <v>0</v>
      </c>
      <c r="N47" s="214">
        <v>0</v>
      </c>
      <c r="O47" s="214">
        <v>0</v>
      </c>
      <c r="P47" s="214">
        <v>0</v>
      </c>
      <c r="Q47" s="214">
        <v>0</v>
      </c>
      <c r="R47" s="214">
        <v>0</v>
      </c>
      <c r="S47" s="214">
        <v>0</v>
      </c>
    </row>
    <row r="48" spans="1:19" x14ac:dyDescent="0.25">
      <c r="A48" s="102" t="s">
        <v>85</v>
      </c>
      <c r="B48" s="105">
        <f>SQRT((H50^2+I50^2+J50^2+K50^2+L50^2+M50^2+N50^2+O50^2+P50^2+Q50^2+R50^2+S50^2+B37^2)/H$27)</f>
        <v>5.0000000000000009E-5</v>
      </c>
      <c r="C48" s="88"/>
      <c r="D48" s="219"/>
      <c r="E48" s="219"/>
      <c r="F48" s="219"/>
      <c r="G48" s="102" t="s">
        <v>123</v>
      </c>
      <c r="H48" s="214">
        <f t="shared" si="6"/>
        <v>5.0000000000000001E-3</v>
      </c>
      <c r="I48" s="214">
        <f t="shared" si="6"/>
        <v>5.0000000000000001E-3</v>
      </c>
      <c r="J48" s="214">
        <f t="shared" si="6"/>
        <v>5.0000000000000001E-3</v>
      </c>
      <c r="K48" s="214">
        <f t="shared" si="6"/>
        <v>5.0000000000000001E-3</v>
      </c>
      <c r="L48" s="214">
        <v>0</v>
      </c>
      <c r="M48" s="214">
        <v>0</v>
      </c>
      <c r="N48" s="214">
        <v>0</v>
      </c>
      <c r="O48" s="214">
        <v>0</v>
      </c>
      <c r="P48" s="214">
        <v>0</v>
      </c>
      <c r="Q48" s="214">
        <v>0</v>
      </c>
      <c r="R48" s="214">
        <v>0</v>
      </c>
      <c r="S48" s="214">
        <v>0</v>
      </c>
    </row>
    <row r="49" spans="1:20" x14ac:dyDescent="0.25">
      <c r="A49" s="102" t="s">
        <v>86</v>
      </c>
      <c r="B49" s="105">
        <f>SQRT((H51^2+I51^2+J51^2+K51^2+L51^2+M51^2+N51^2+O51^2+P51^2+Q51^2+R51^2+S51^2+B38^2)/H$27)</f>
        <v>5.0000000000000009E-5</v>
      </c>
      <c r="D49" s="219"/>
      <c r="E49" s="219"/>
      <c r="F49" s="219"/>
      <c r="G49" s="82" t="s">
        <v>251</v>
      </c>
    </row>
    <row r="50" spans="1:20" x14ac:dyDescent="0.25">
      <c r="A50" s="102" t="s">
        <v>87</v>
      </c>
      <c r="B50" s="105">
        <f>SQRT((H52^2+I52^2+J52^2+K52^2+L52^2+M52^2+N52^2+O52^2+P52^2+Q52^2+R52^2+S52^2+B39^2)/H$27)</f>
        <v>4.999999975000001E-5</v>
      </c>
      <c r="C50" s="88"/>
      <c r="D50" s="220"/>
      <c r="E50" s="220"/>
      <c r="F50" s="220"/>
      <c r="G50" s="102" t="s">
        <v>85</v>
      </c>
      <c r="H50" s="153">
        <f>H97</f>
        <v>4.9999999500000004E-5</v>
      </c>
      <c r="I50" s="153">
        <f t="shared" ref="I50:S50" si="7">I97</f>
        <v>4.9999999500000004E-5</v>
      </c>
      <c r="J50" s="153">
        <f t="shared" si="7"/>
        <v>5.0000000500000007E-5</v>
      </c>
      <c r="K50" s="153">
        <f t="shared" si="7"/>
        <v>5.0000000500000007E-5</v>
      </c>
      <c r="L50" s="153">
        <f t="shared" si="7"/>
        <v>0</v>
      </c>
      <c r="M50" s="153">
        <f t="shared" si="7"/>
        <v>0</v>
      </c>
      <c r="N50" s="153">
        <f t="shared" si="7"/>
        <v>0</v>
      </c>
      <c r="O50" s="153">
        <f t="shared" si="7"/>
        <v>0</v>
      </c>
      <c r="P50" s="153">
        <f t="shared" si="7"/>
        <v>0</v>
      </c>
      <c r="Q50" s="153">
        <f t="shared" si="7"/>
        <v>0</v>
      </c>
      <c r="R50" s="153">
        <f t="shared" si="7"/>
        <v>0</v>
      </c>
      <c r="S50" s="153">
        <f t="shared" si="7"/>
        <v>0</v>
      </c>
    </row>
    <row r="51" spans="1:20" ht="47.25" x14ac:dyDescent="0.25">
      <c r="A51" s="216" t="s">
        <v>207</v>
      </c>
      <c r="B51" s="107"/>
      <c r="C51" s="88"/>
      <c r="D51" s="220"/>
      <c r="E51" s="220"/>
      <c r="F51" s="220"/>
      <c r="G51" s="102" t="s">
        <v>86</v>
      </c>
      <c r="H51" s="153">
        <f>H101</f>
        <v>4.9999999500000004E-5</v>
      </c>
      <c r="I51" s="153">
        <f t="shared" ref="I51:S51" si="8">I101</f>
        <v>5.0000000500000007E-5</v>
      </c>
      <c r="J51" s="153">
        <f t="shared" si="8"/>
        <v>5.0000000500000007E-5</v>
      </c>
      <c r="K51" s="153">
        <f t="shared" si="8"/>
        <v>4.9999999500000004E-5</v>
      </c>
      <c r="L51" s="153">
        <f t="shared" si="8"/>
        <v>0</v>
      </c>
      <c r="M51" s="153">
        <f t="shared" si="8"/>
        <v>0</v>
      </c>
      <c r="N51" s="153">
        <f t="shared" si="8"/>
        <v>0</v>
      </c>
      <c r="O51" s="153">
        <f t="shared" si="8"/>
        <v>0</v>
      </c>
      <c r="P51" s="153">
        <f t="shared" si="8"/>
        <v>0</v>
      </c>
      <c r="Q51" s="153">
        <f t="shared" si="8"/>
        <v>0</v>
      </c>
      <c r="R51" s="153">
        <f t="shared" si="8"/>
        <v>0</v>
      </c>
      <c r="S51" s="153">
        <f t="shared" si="8"/>
        <v>0</v>
      </c>
      <c r="T51" s="83"/>
    </row>
    <row r="52" spans="1:20" x14ac:dyDescent="0.25">
      <c r="A52" s="102" t="s">
        <v>121</v>
      </c>
      <c r="B52" s="105">
        <f>SQRT((H54^2+I54^2+J54^2+K54^2+L54^2+M54^2+N54^2+O54^2+P54^2+Q54^2+R54^2+S54^2)/H$27)</f>
        <v>0</v>
      </c>
      <c r="C52" s="88"/>
      <c r="D52" s="220"/>
      <c r="E52" s="220"/>
      <c r="F52" s="220"/>
      <c r="G52" s="102" t="s">
        <v>87</v>
      </c>
      <c r="H52" s="153">
        <f>H105</f>
        <v>4.9999999500000004E-5</v>
      </c>
      <c r="I52" s="153">
        <f t="shared" ref="I52:S52" si="9">I105</f>
        <v>4.9999999500000004E-5</v>
      </c>
      <c r="J52" s="153">
        <f t="shared" si="9"/>
        <v>5.0000000500000007E-5</v>
      </c>
      <c r="K52" s="153">
        <f t="shared" si="9"/>
        <v>4.9999999500000004E-5</v>
      </c>
      <c r="L52" s="153">
        <f t="shared" si="9"/>
        <v>0</v>
      </c>
      <c r="M52" s="153">
        <f t="shared" si="9"/>
        <v>0</v>
      </c>
      <c r="N52" s="153">
        <f t="shared" si="9"/>
        <v>0</v>
      </c>
      <c r="O52" s="153">
        <f t="shared" si="9"/>
        <v>0</v>
      </c>
      <c r="P52" s="153">
        <f t="shared" si="9"/>
        <v>0</v>
      </c>
      <c r="Q52" s="153">
        <f t="shared" si="9"/>
        <v>0</v>
      </c>
      <c r="R52" s="153">
        <f t="shared" si="9"/>
        <v>0</v>
      </c>
      <c r="S52" s="153">
        <f t="shared" si="9"/>
        <v>0</v>
      </c>
    </row>
    <row r="53" spans="1:20" x14ac:dyDescent="0.25">
      <c r="A53" s="102" t="s">
        <v>122</v>
      </c>
      <c r="B53" s="105">
        <f>SQRT((H55^2+I55^2+J55^2+K55^2+L55^2+M55^2+N55^2+O55^2+P55^2+Q55^2+R55^2+S55^2)/H$27)</f>
        <v>0</v>
      </c>
      <c r="C53" s="88"/>
      <c r="D53" s="214"/>
      <c r="E53" s="214"/>
      <c r="F53" s="214"/>
      <c r="G53" s="82" t="s">
        <v>330</v>
      </c>
    </row>
    <row r="54" spans="1:20" x14ac:dyDescent="0.25">
      <c r="A54" s="102" t="s">
        <v>123</v>
      </c>
      <c r="B54" s="105">
        <f>SQRT((H56^2+I56^2+J56^2+K56^2+L56^2+M56^2+N56^2+O56^2+P56^2+Q56^2+R56^2+S56^2)/H$27)</f>
        <v>0</v>
      </c>
      <c r="C54" s="88"/>
      <c r="G54" s="102" t="s">
        <v>121</v>
      </c>
      <c r="H54" s="214">
        <v>0</v>
      </c>
      <c r="I54" s="214">
        <v>0</v>
      </c>
      <c r="J54" s="214">
        <v>0</v>
      </c>
      <c r="K54" s="214">
        <v>0</v>
      </c>
      <c r="L54" s="214">
        <v>0</v>
      </c>
      <c r="M54" s="214">
        <v>0</v>
      </c>
      <c r="N54" s="214">
        <v>0</v>
      </c>
      <c r="O54" s="214">
        <v>0</v>
      </c>
      <c r="P54" s="214">
        <v>0</v>
      </c>
      <c r="Q54" s="214">
        <v>0</v>
      </c>
      <c r="R54" s="214">
        <v>0</v>
      </c>
      <c r="S54" s="214">
        <v>0</v>
      </c>
    </row>
    <row r="55" spans="1:20" x14ac:dyDescent="0.25">
      <c r="A55" s="102" t="s">
        <v>85</v>
      </c>
      <c r="B55" s="105">
        <f>SQRT((H58^2+I58^2+J58^2+K58^2+L58^2+M58^2+N58^2+O58^2+P58^2+Q58^2+R58^2+S58^2+B41^2)/H$27)</f>
        <v>0</v>
      </c>
      <c r="C55" s="88"/>
      <c r="G55" s="102" t="s">
        <v>122</v>
      </c>
      <c r="H55" s="214">
        <v>0</v>
      </c>
      <c r="I55" s="214">
        <v>0</v>
      </c>
      <c r="J55" s="214">
        <v>0</v>
      </c>
      <c r="K55" s="214">
        <v>0</v>
      </c>
      <c r="L55" s="214">
        <v>0</v>
      </c>
      <c r="M55" s="214">
        <v>0</v>
      </c>
      <c r="N55" s="214">
        <v>0</v>
      </c>
      <c r="O55" s="214">
        <v>0</v>
      </c>
      <c r="P55" s="214">
        <v>0</v>
      </c>
      <c r="Q55" s="214">
        <v>0</v>
      </c>
      <c r="R55" s="214">
        <v>0</v>
      </c>
      <c r="S55" s="214">
        <v>0</v>
      </c>
    </row>
    <row r="56" spans="1:20" x14ac:dyDescent="0.25">
      <c r="A56" s="102" t="s">
        <v>86</v>
      </c>
      <c r="B56" s="105">
        <f>SQRT((H59^2+I59^2+J59^2+K59^2+L59^2+M59^2+N59^2+O59^2+P59^2+Q59^2+R59^2+S59^2+B42^2)/H$27)</f>
        <v>0</v>
      </c>
      <c r="G56" s="102" t="s">
        <v>123</v>
      </c>
      <c r="H56" s="214">
        <v>0</v>
      </c>
      <c r="I56" s="214">
        <v>0</v>
      </c>
      <c r="J56" s="214">
        <v>0</v>
      </c>
      <c r="K56" s="214">
        <v>0</v>
      </c>
      <c r="L56" s="214">
        <v>0</v>
      </c>
      <c r="M56" s="214">
        <v>0</v>
      </c>
      <c r="N56" s="214">
        <v>0</v>
      </c>
      <c r="O56" s="214">
        <v>0</v>
      </c>
      <c r="P56" s="214">
        <v>0</v>
      </c>
      <c r="Q56" s="214">
        <v>0</v>
      </c>
      <c r="R56" s="214">
        <v>0</v>
      </c>
      <c r="S56" s="214">
        <v>0</v>
      </c>
    </row>
    <row r="57" spans="1:20" x14ac:dyDescent="0.25">
      <c r="A57" s="102" t="s">
        <v>87</v>
      </c>
      <c r="B57" s="105">
        <f>SQRT((H60^2+I60^2+J60^2+K60^2+L60^2+M60^2+N60^2+O60^2+P60^2+Q60^2+R60^2+S60^2+B43^2)/H$27)</f>
        <v>0</v>
      </c>
      <c r="G57" s="82" t="s">
        <v>252</v>
      </c>
    </row>
    <row r="58" spans="1:20" x14ac:dyDescent="0.25">
      <c r="G58" s="102" t="s">
        <v>85</v>
      </c>
      <c r="H58" s="222">
        <f>H112</f>
        <v>0</v>
      </c>
      <c r="I58" s="222">
        <f t="shared" ref="I58:S58" si="10">I112</f>
        <v>0</v>
      </c>
      <c r="J58" s="222">
        <f t="shared" si="10"/>
        <v>0</v>
      </c>
      <c r="K58" s="222">
        <f t="shared" si="10"/>
        <v>0</v>
      </c>
      <c r="L58" s="222">
        <f t="shared" si="10"/>
        <v>0</v>
      </c>
      <c r="M58" s="222">
        <f t="shared" si="10"/>
        <v>0</v>
      </c>
      <c r="N58" s="222">
        <f t="shared" si="10"/>
        <v>0</v>
      </c>
      <c r="O58" s="222">
        <f t="shared" si="10"/>
        <v>0</v>
      </c>
      <c r="P58" s="222">
        <f t="shared" si="10"/>
        <v>0</v>
      </c>
      <c r="Q58" s="222">
        <f t="shared" si="10"/>
        <v>0</v>
      </c>
      <c r="R58" s="222">
        <f t="shared" si="10"/>
        <v>0</v>
      </c>
      <c r="S58" s="222">
        <f t="shared" si="10"/>
        <v>0</v>
      </c>
    </row>
    <row r="59" spans="1:20" x14ac:dyDescent="0.25">
      <c r="G59" s="102" t="s">
        <v>86</v>
      </c>
      <c r="H59" s="222">
        <f>H117</f>
        <v>0</v>
      </c>
      <c r="I59" s="222">
        <f t="shared" ref="I59:S59" si="11">I117</f>
        <v>0</v>
      </c>
      <c r="J59" s="222">
        <f t="shared" si="11"/>
        <v>0</v>
      </c>
      <c r="K59" s="222">
        <f t="shared" si="11"/>
        <v>0</v>
      </c>
      <c r="L59" s="222">
        <f t="shared" si="11"/>
        <v>0</v>
      </c>
      <c r="M59" s="222">
        <f t="shared" si="11"/>
        <v>0</v>
      </c>
      <c r="N59" s="222">
        <f t="shared" si="11"/>
        <v>0</v>
      </c>
      <c r="O59" s="222">
        <f t="shared" si="11"/>
        <v>0</v>
      </c>
      <c r="P59" s="222">
        <f t="shared" si="11"/>
        <v>0</v>
      </c>
      <c r="Q59" s="222">
        <f t="shared" si="11"/>
        <v>0</v>
      </c>
      <c r="R59" s="222">
        <f t="shared" si="11"/>
        <v>0</v>
      </c>
      <c r="S59" s="222">
        <f t="shared" si="11"/>
        <v>0</v>
      </c>
    </row>
    <row r="60" spans="1:20" x14ac:dyDescent="0.25">
      <c r="G60" s="102" t="s">
        <v>87</v>
      </c>
      <c r="H60" s="222">
        <f>H122</f>
        <v>0</v>
      </c>
      <c r="I60" s="222">
        <f t="shared" ref="I60:S60" si="12">I122</f>
        <v>0</v>
      </c>
      <c r="J60" s="222">
        <f t="shared" si="12"/>
        <v>0</v>
      </c>
      <c r="K60" s="222">
        <f t="shared" si="12"/>
        <v>0</v>
      </c>
      <c r="L60" s="222">
        <f t="shared" si="12"/>
        <v>0</v>
      </c>
      <c r="M60" s="222">
        <f t="shared" si="12"/>
        <v>0</v>
      </c>
      <c r="N60" s="222">
        <f t="shared" si="12"/>
        <v>0</v>
      </c>
      <c r="O60" s="222">
        <f t="shared" si="12"/>
        <v>0</v>
      </c>
      <c r="P60" s="222">
        <f t="shared" si="12"/>
        <v>0</v>
      </c>
      <c r="Q60" s="222">
        <f t="shared" si="12"/>
        <v>0</v>
      </c>
      <c r="R60" s="222">
        <f t="shared" si="12"/>
        <v>0</v>
      </c>
      <c r="S60" s="222">
        <f t="shared" si="12"/>
        <v>0</v>
      </c>
    </row>
    <row r="61" spans="1:20" x14ac:dyDescent="0.25">
      <c r="G61" s="215"/>
    </row>
    <row r="62" spans="1:20" x14ac:dyDescent="0.25">
      <c r="I62" s="118"/>
      <c r="J62" s="118"/>
      <c r="K62" s="118"/>
      <c r="L62" s="118"/>
      <c r="M62" s="118"/>
      <c r="N62" s="118"/>
    </row>
    <row r="63" spans="1:20" x14ac:dyDescent="0.25">
      <c r="G63" s="119"/>
      <c r="H63" s="353"/>
      <c r="I63" s="148"/>
      <c r="J63" s="148"/>
      <c r="K63" s="148"/>
      <c r="L63" s="148"/>
      <c r="M63" s="148"/>
      <c r="N63" s="148"/>
      <c r="O63" s="118"/>
    </row>
    <row r="64" spans="1:20" x14ac:dyDescent="0.25">
      <c r="G64" s="119"/>
      <c r="H64" s="353"/>
      <c r="I64" s="148"/>
      <c r="J64" s="148"/>
      <c r="K64" s="148"/>
      <c r="L64" s="148"/>
      <c r="M64" s="148"/>
      <c r="N64" s="148"/>
      <c r="O64" s="118"/>
    </row>
    <row r="65" spans="1:15" x14ac:dyDescent="0.25">
      <c r="G65" s="119"/>
      <c r="H65" s="353"/>
      <c r="I65" s="148"/>
      <c r="J65" s="148"/>
      <c r="K65" s="148"/>
      <c r="L65" s="148"/>
      <c r="M65" s="148"/>
      <c r="N65" s="148"/>
      <c r="O65" s="118"/>
    </row>
    <row r="66" spans="1:15" x14ac:dyDescent="0.25">
      <c r="G66" s="119"/>
      <c r="H66" s="353"/>
      <c r="I66" s="148"/>
      <c r="J66" s="148"/>
      <c r="K66" s="148"/>
      <c r="L66" s="148"/>
      <c r="M66" s="148"/>
      <c r="N66" s="148"/>
      <c r="O66" s="118"/>
    </row>
    <row r="67" spans="1:15" x14ac:dyDescent="0.25">
      <c r="G67" s="119"/>
      <c r="H67" s="353"/>
      <c r="I67" s="148"/>
      <c r="J67" s="148"/>
      <c r="K67" s="148"/>
      <c r="L67" s="148"/>
      <c r="M67" s="148"/>
      <c r="N67" s="148"/>
      <c r="O67" s="118"/>
    </row>
    <row r="68" spans="1:15" x14ac:dyDescent="0.25">
      <c r="G68" s="119"/>
      <c r="H68" s="353"/>
      <c r="I68" s="148"/>
      <c r="J68" s="148"/>
      <c r="K68" s="148"/>
      <c r="L68" s="148"/>
      <c r="M68" s="148"/>
      <c r="N68" s="148"/>
      <c r="O68" s="118"/>
    </row>
    <row r="69" spans="1:15" x14ac:dyDescent="0.25">
      <c r="G69" s="119"/>
      <c r="H69" s="197"/>
      <c r="I69" s="223"/>
      <c r="J69" s="223"/>
      <c r="K69" s="223"/>
      <c r="L69" s="223"/>
      <c r="M69" s="223"/>
      <c r="N69" s="223"/>
      <c r="O69" s="118"/>
    </row>
    <row r="70" spans="1:15" x14ac:dyDescent="0.25">
      <c r="G70" s="119"/>
      <c r="H70" s="197"/>
      <c r="I70" s="223"/>
      <c r="J70" s="223"/>
      <c r="K70" s="223"/>
      <c r="L70" s="223"/>
      <c r="M70" s="223"/>
      <c r="N70" s="223"/>
      <c r="O70" s="118"/>
    </row>
    <row r="71" spans="1:15" x14ac:dyDescent="0.25">
      <c r="G71" s="119"/>
      <c r="H71" s="197"/>
      <c r="I71" s="223"/>
      <c r="J71" s="223"/>
      <c r="K71" s="223"/>
      <c r="L71" s="223"/>
      <c r="M71" s="223"/>
      <c r="N71" s="223"/>
      <c r="O71" s="118"/>
    </row>
    <row r="72" spans="1:15" x14ac:dyDescent="0.25">
      <c r="G72" s="119"/>
      <c r="H72" s="197"/>
      <c r="I72" s="223"/>
      <c r="J72" s="223"/>
      <c r="K72" s="223"/>
      <c r="L72" s="223"/>
      <c r="M72" s="223"/>
      <c r="N72" s="223"/>
      <c r="O72" s="118"/>
    </row>
    <row r="73" spans="1:15" x14ac:dyDescent="0.25">
      <c r="G73" s="119"/>
      <c r="H73" s="197"/>
      <c r="I73" s="223"/>
      <c r="J73" s="223"/>
      <c r="K73" s="223"/>
      <c r="L73" s="223"/>
      <c r="M73" s="223"/>
      <c r="N73" s="223"/>
      <c r="O73" s="118"/>
    </row>
    <row r="74" spans="1:15" x14ac:dyDescent="0.25">
      <c r="G74" s="119"/>
      <c r="H74" s="197"/>
      <c r="I74" s="223"/>
      <c r="J74" s="223"/>
      <c r="K74" s="223"/>
      <c r="L74" s="223"/>
      <c r="M74" s="223"/>
      <c r="N74" s="223"/>
      <c r="O74" s="118"/>
    </row>
    <row r="75" spans="1:15" x14ac:dyDescent="0.25">
      <c r="G75" s="119"/>
      <c r="H75" s="197"/>
      <c r="I75" s="223"/>
      <c r="J75" s="223"/>
      <c r="K75" s="223"/>
      <c r="L75" s="223"/>
      <c r="M75" s="223"/>
      <c r="N75" s="223"/>
      <c r="O75" s="118"/>
    </row>
    <row r="76" spans="1:15" x14ac:dyDescent="0.25">
      <c r="G76" s="119"/>
      <c r="H76" s="197"/>
      <c r="I76" s="223"/>
      <c r="J76" s="223"/>
      <c r="K76" s="223"/>
      <c r="L76" s="223"/>
      <c r="M76" s="223"/>
      <c r="N76" s="223"/>
      <c r="O76" s="118"/>
    </row>
    <row r="77" spans="1:15" x14ac:dyDescent="0.25">
      <c r="G77" s="119"/>
      <c r="H77" s="197"/>
      <c r="I77" s="223"/>
      <c r="J77" s="223"/>
      <c r="K77" s="223"/>
      <c r="L77" s="223"/>
      <c r="M77" s="223"/>
      <c r="N77" s="223"/>
      <c r="O77" s="118"/>
    </row>
    <row r="78" spans="1:15" x14ac:dyDescent="0.25">
      <c r="A78" s="102"/>
      <c r="B78" s="210"/>
      <c r="G78" s="119"/>
      <c r="H78" s="197"/>
      <c r="I78" s="223"/>
      <c r="J78" s="223"/>
      <c r="K78" s="223"/>
      <c r="L78" s="223"/>
      <c r="M78" s="223"/>
      <c r="N78" s="223"/>
      <c r="O78" s="118"/>
    </row>
    <row r="79" spans="1:15" x14ac:dyDescent="0.25">
      <c r="A79" s="102"/>
      <c r="B79" s="210"/>
      <c r="G79" s="119"/>
      <c r="H79" s="197"/>
      <c r="I79" s="223"/>
      <c r="J79" s="223"/>
      <c r="K79" s="223"/>
      <c r="L79" s="223"/>
      <c r="M79" s="223"/>
      <c r="N79" s="223"/>
      <c r="O79" s="118"/>
    </row>
    <row r="80" spans="1:15" x14ac:dyDescent="0.25">
      <c r="A80" s="102"/>
      <c r="B80" s="210"/>
      <c r="G80" s="119"/>
      <c r="H80" s="197"/>
      <c r="I80" s="223"/>
      <c r="J80" s="223"/>
      <c r="K80" s="223"/>
      <c r="L80" s="223"/>
      <c r="M80" s="223"/>
      <c r="N80" s="223"/>
      <c r="O80" s="118"/>
    </row>
    <row r="81" spans="1:19" x14ac:dyDescent="0.25">
      <c r="A81" s="102"/>
      <c r="B81" s="210"/>
      <c r="G81" s="119"/>
      <c r="H81" s="197"/>
      <c r="I81" s="223"/>
      <c r="J81" s="223"/>
      <c r="K81" s="223"/>
      <c r="L81" s="223"/>
      <c r="M81" s="223"/>
      <c r="N81" s="223"/>
      <c r="O81" s="118"/>
    </row>
    <row r="82" spans="1:19" x14ac:dyDescent="0.25">
      <c r="A82" s="102"/>
      <c r="B82" s="210"/>
      <c r="G82" s="119"/>
      <c r="H82" s="197"/>
      <c r="I82" s="223"/>
      <c r="J82" s="223"/>
      <c r="K82" s="223"/>
      <c r="L82" s="223"/>
      <c r="M82" s="223"/>
      <c r="N82" s="223"/>
      <c r="O82" s="118"/>
    </row>
    <row r="83" spans="1:19" x14ac:dyDescent="0.25">
      <c r="A83" s="102"/>
      <c r="B83" s="210"/>
      <c r="G83" s="119"/>
      <c r="H83" s="197"/>
      <c r="I83" s="223"/>
      <c r="J83" s="223"/>
      <c r="K83" s="223"/>
      <c r="L83" s="223"/>
      <c r="M83" s="223"/>
      <c r="N83" s="223"/>
      <c r="O83" s="118"/>
    </row>
    <row r="84" spans="1:19" x14ac:dyDescent="0.25">
      <c r="A84" s="102"/>
      <c r="B84" s="210"/>
      <c r="G84" s="119"/>
      <c r="H84" s="197"/>
      <c r="I84" s="223"/>
      <c r="J84" s="223"/>
      <c r="K84" s="223"/>
      <c r="L84" s="223"/>
      <c r="M84" s="223"/>
      <c r="N84" s="223"/>
      <c r="O84" s="118"/>
    </row>
    <row r="85" spans="1:19" x14ac:dyDescent="0.25">
      <c r="A85" s="102"/>
      <c r="B85" s="210"/>
      <c r="G85" s="119"/>
      <c r="H85" s="197"/>
      <c r="I85" s="223"/>
      <c r="J85" s="223"/>
      <c r="K85" s="223"/>
      <c r="L85" s="223"/>
      <c r="M85" s="223"/>
      <c r="N85" s="223"/>
      <c r="O85" s="118"/>
    </row>
    <row r="86" spans="1:19" x14ac:dyDescent="0.25">
      <c r="A86" s="102"/>
      <c r="B86" s="210"/>
      <c r="G86" s="119"/>
      <c r="H86" s="197"/>
      <c r="I86" s="223"/>
      <c r="J86" s="223"/>
      <c r="K86" s="223"/>
      <c r="L86" s="223"/>
      <c r="M86" s="223"/>
      <c r="N86" s="223"/>
      <c r="O86" s="118"/>
    </row>
    <row r="87" spans="1:19" x14ac:dyDescent="0.25">
      <c r="A87" s="102"/>
      <c r="B87" s="210"/>
      <c r="G87" s="119"/>
      <c r="H87" s="197"/>
      <c r="I87" s="223"/>
      <c r="J87" s="223"/>
      <c r="K87" s="223"/>
      <c r="L87" s="223"/>
      <c r="M87" s="223"/>
      <c r="N87" s="223"/>
      <c r="O87" s="118"/>
    </row>
    <row r="88" spans="1:19" x14ac:dyDescent="0.25">
      <c r="A88" s="102"/>
      <c r="B88" s="210"/>
      <c r="G88" s="119"/>
      <c r="H88" s="197"/>
      <c r="I88" s="223"/>
      <c r="J88" s="223"/>
      <c r="K88" s="223"/>
      <c r="L88" s="223"/>
      <c r="M88" s="223"/>
      <c r="N88" s="223"/>
      <c r="O88" s="118"/>
    </row>
    <row r="89" spans="1:19" x14ac:dyDescent="0.25">
      <c r="A89" s="102"/>
      <c r="B89" s="210"/>
      <c r="G89" s="119"/>
      <c r="H89" s="197"/>
      <c r="I89" s="223"/>
      <c r="J89" s="223"/>
      <c r="K89" s="223"/>
      <c r="L89" s="223"/>
      <c r="M89" s="223"/>
      <c r="N89" s="223"/>
      <c r="O89" s="118"/>
    </row>
    <row r="90" spans="1:19" x14ac:dyDescent="0.25">
      <c r="A90" s="102"/>
      <c r="B90" s="210"/>
    </row>
    <row r="91" spans="1:19" x14ac:dyDescent="0.25">
      <c r="A91" s="102"/>
      <c r="B91" s="210"/>
    </row>
    <row r="92" spans="1:19" x14ac:dyDescent="0.25">
      <c r="A92" s="102"/>
      <c r="B92" s="210"/>
    </row>
    <row r="93" spans="1:19" x14ac:dyDescent="0.25">
      <c r="A93" s="102"/>
      <c r="B93" s="210"/>
      <c r="G93" s="224" t="s">
        <v>259</v>
      </c>
    </row>
    <row r="94" spans="1:19" x14ac:dyDescent="0.25">
      <c r="A94" s="102"/>
      <c r="B94" s="210"/>
      <c r="G94" s="212"/>
      <c r="H94" s="150" t="s">
        <v>260</v>
      </c>
    </row>
    <row r="95" spans="1:19" x14ac:dyDescent="0.25">
      <c r="A95" s="102"/>
      <c r="B95" s="210"/>
      <c r="G95" s="150" t="s">
        <v>258</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10"/>
      <c r="G96" s="150" t="s">
        <v>258</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10"/>
      <c r="G97" s="81" t="s">
        <v>256</v>
      </c>
      <c r="H97" s="225">
        <f>IF(MIN(H95,H96)&gt;1,0,MIN(H95,H96))</f>
        <v>4.9999999500000004E-5</v>
      </c>
      <c r="I97" s="225">
        <f t="shared" ref="I97:S97" si="15">IF(MIN(I95,I96)&gt;1,0,MIN(I95,I96))</f>
        <v>4.9999999500000004E-5</v>
      </c>
      <c r="J97" s="225">
        <f t="shared" si="15"/>
        <v>5.0000000500000007E-5</v>
      </c>
      <c r="K97" s="225">
        <f t="shared" si="15"/>
        <v>5.0000000500000007E-5</v>
      </c>
      <c r="L97" s="225">
        <f t="shared" si="15"/>
        <v>0</v>
      </c>
      <c r="M97" s="225">
        <f t="shared" si="15"/>
        <v>0</v>
      </c>
      <c r="N97" s="225">
        <f t="shared" si="15"/>
        <v>0</v>
      </c>
      <c r="O97" s="225">
        <f t="shared" si="15"/>
        <v>0</v>
      </c>
      <c r="P97" s="225">
        <f t="shared" si="15"/>
        <v>0</v>
      </c>
      <c r="Q97" s="225">
        <f t="shared" si="15"/>
        <v>0</v>
      </c>
      <c r="R97" s="225">
        <f t="shared" si="15"/>
        <v>0</v>
      </c>
      <c r="S97" s="225">
        <f t="shared" si="15"/>
        <v>0</v>
      </c>
    </row>
    <row r="98" spans="1:19" x14ac:dyDescent="0.25">
      <c r="A98" s="102"/>
      <c r="B98" s="210"/>
      <c r="H98" s="150" t="s">
        <v>261</v>
      </c>
      <c r="I98" s="150"/>
      <c r="J98" s="150"/>
      <c r="K98" s="150"/>
      <c r="L98" s="150"/>
      <c r="M98" s="150"/>
      <c r="N98" s="150"/>
      <c r="O98" s="150"/>
      <c r="P98" s="150"/>
      <c r="Q98" s="150"/>
      <c r="R98" s="150"/>
      <c r="S98" s="150"/>
    </row>
    <row r="99" spans="1:19" x14ac:dyDescent="0.25">
      <c r="A99" s="102"/>
      <c r="B99" s="210"/>
      <c r="G99" s="115" t="s">
        <v>258</v>
      </c>
      <c r="H99" s="155">
        <f t="shared" ref="H99:S99" si="16">H48/ABS(H30+0.000001)</f>
        <v>4.9999999500000004E-5</v>
      </c>
      <c r="I99" s="155">
        <f t="shared" si="16"/>
        <v>5.0000000500000007E-5</v>
      </c>
      <c r="J99" s="155">
        <f t="shared" si="16"/>
        <v>5.0000000500000007E-5</v>
      </c>
      <c r="K99" s="155">
        <f t="shared" si="16"/>
        <v>4.9999999500000004E-5</v>
      </c>
      <c r="L99" s="155">
        <f t="shared" si="16"/>
        <v>0</v>
      </c>
      <c r="M99" s="155">
        <f t="shared" si="16"/>
        <v>0</v>
      </c>
      <c r="N99" s="155">
        <f t="shared" si="16"/>
        <v>0</v>
      </c>
      <c r="O99" s="155">
        <f t="shared" si="16"/>
        <v>0</v>
      </c>
      <c r="P99" s="155">
        <f t="shared" si="16"/>
        <v>0</v>
      </c>
      <c r="Q99" s="155">
        <f t="shared" si="16"/>
        <v>0</v>
      </c>
      <c r="R99" s="155">
        <f t="shared" si="16"/>
        <v>0</v>
      </c>
      <c r="S99" s="155">
        <f t="shared" si="16"/>
        <v>0</v>
      </c>
    </row>
    <row r="100" spans="1:19" x14ac:dyDescent="0.25">
      <c r="A100" s="102"/>
      <c r="B100" s="210"/>
      <c r="G100" s="115" t="s">
        <v>258</v>
      </c>
      <c r="H100" s="226">
        <f t="shared" ref="H100:S100" si="17">H46/ABS(H32+0.000001)</f>
        <v>5000</v>
      </c>
      <c r="I100" s="226">
        <f t="shared" si="17"/>
        <v>5000</v>
      </c>
      <c r="J100" s="226">
        <f t="shared" si="17"/>
        <v>5000</v>
      </c>
      <c r="K100" s="226">
        <f t="shared" si="17"/>
        <v>5000</v>
      </c>
      <c r="L100" s="226">
        <f t="shared" si="17"/>
        <v>0</v>
      </c>
      <c r="M100" s="226">
        <f t="shared" si="17"/>
        <v>0</v>
      </c>
      <c r="N100" s="226">
        <f t="shared" si="17"/>
        <v>0</v>
      </c>
      <c r="O100" s="226">
        <f t="shared" si="17"/>
        <v>0</v>
      </c>
      <c r="P100" s="226">
        <f t="shared" si="17"/>
        <v>0</v>
      </c>
      <c r="Q100" s="226">
        <f t="shared" si="17"/>
        <v>0</v>
      </c>
      <c r="R100" s="226">
        <f t="shared" si="17"/>
        <v>0</v>
      </c>
      <c r="S100" s="226">
        <f t="shared" si="17"/>
        <v>0</v>
      </c>
    </row>
    <row r="101" spans="1:19" x14ac:dyDescent="0.25">
      <c r="A101" s="102"/>
      <c r="B101" s="210"/>
      <c r="G101" s="81" t="s">
        <v>256</v>
      </c>
      <c r="H101" s="225">
        <f>IF(MIN(H99,H100)&gt;1,0,MIN(H99,H100))</f>
        <v>4.9999999500000004E-5</v>
      </c>
      <c r="I101" s="225">
        <f t="shared" ref="I101:S101" si="18">IF(MIN(I99,I100)&gt;1,0,MIN(I99,I100))</f>
        <v>5.0000000500000007E-5</v>
      </c>
      <c r="J101" s="225">
        <f t="shared" si="18"/>
        <v>5.0000000500000007E-5</v>
      </c>
      <c r="K101" s="225">
        <f t="shared" si="18"/>
        <v>4.9999999500000004E-5</v>
      </c>
      <c r="L101" s="225">
        <f t="shared" si="18"/>
        <v>0</v>
      </c>
      <c r="M101" s="225">
        <f t="shared" si="18"/>
        <v>0</v>
      </c>
      <c r="N101" s="225">
        <f t="shared" si="18"/>
        <v>0</v>
      </c>
      <c r="O101" s="225">
        <f t="shared" si="18"/>
        <v>0</v>
      </c>
      <c r="P101" s="225">
        <f t="shared" si="18"/>
        <v>0</v>
      </c>
      <c r="Q101" s="225">
        <f t="shared" si="18"/>
        <v>0</v>
      </c>
      <c r="R101" s="225">
        <f t="shared" si="18"/>
        <v>0</v>
      </c>
      <c r="S101" s="225">
        <f t="shared" si="18"/>
        <v>0</v>
      </c>
    </row>
    <row r="102" spans="1:19" x14ac:dyDescent="0.25">
      <c r="A102" s="102"/>
      <c r="B102" s="210"/>
      <c r="H102" s="81" t="s">
        <v>262</v>
      </c>
    </row>
    <row r="103" spans="1:19" x14ac:dyDescent="0.25">
      <c r="A103" s="102"/>
      <c r="B103" s="210"/>
      <c r="G103" s="150" t="s">
        <v>258</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10"/>
      <c r="G104" s="150" t="s">
        <v>258</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10"/>
      <c r="G105" s="81" t="s">
        <v>256</v>
      </c>
      <c r="H105" s="225">
        <f>IF(MIN(H103,H104)&gt;1,0,MIN(H103,H104))</f>
        <v>4.9999999500000004E-5</v>
      </c>
      <c r="I105" s="225">
        <f t="shared" ref="I105:S105" si="21">IF(MIN(I103,I104)&gt;1,0,MIN(I103,I104))</f>
        <v>4.9999999500000004E-5</v>
      </c>
      <c r="J105" s="225">
        <f t="shared" si="21"/>
        <v>5.0000000500000007E-5</v>
      </c>
      <c r="K105" s="225">
        <f t="shared" si="21"/>
        <v>4.9999999500000004E-5</v>
      </c>
      <c r="L105" s="225">
        <f t="shared" si="21"/>
        <v>0</v>
      </c>
      <c r="M105" s="225">
        <f t="shared" si="21"/>
        <v>0</v>
      </c>
      <c r="N105" s="225">
        <f t="shared" si="21"/>
        <v>0</v>
      </c>
      <c r="O105" s="225">
        <f t="shared" si="21"/>
        <v>0</v>
      </c>
      <c r="P105" s="225">
        <f t="shared" si="21"/>
        <v>0</v>
      </c>
      <c r="Q105" s="225">
        <f t="shared" si="21"/>
        <v>0</v>
      </c>
      <c r="R105" s="225">
        <f t="shared" si="21"/>
        <v>0</v>
      </c>
      <c r="S105" s="225">
        <f t="shared" si="21"/>
        <v>0</v>
      </c>
    </row>
    <row r="106" spans="1:19" x14ac:dyDescent="0.25">
      <c r="A106" s="102"/>
      <c r="B106" s="210"/>
    </row>
    <row r="107" spans="1:19" x14ac:dyDescent="0.25">
      <c r="A107" s="102"/>
      <c r="B107" s="210"/>
      <c r="G107" s="224" t="s">
        <v>308</v>
      </c>
      <c r="H107" s="224"/>
      <c r="I107" s="224"/>
      <c r="J107" s="224"/>
      <c r="K107" s="224"/>
      <c r="L107" s="224"/>
      <c r="M107" s="224"/>
      <c r="N107" s="224"/>
      <c r="O107" s="224"/>
      <c r="P107" s="224"/>
    </row>
    <row r="108" spans="1:19" x14ac:dyDescent="0.25">
      <c r="H108" s="102" t="s">
        <v>253</v>
      </c>
      <c r="I108" s="102"/>
      <c r="J108" s="102"/>
      <c r="K108" s="102"/>
      <c r="L108" s="102"/>
      <c r="M108" s="102"/>
      <c r="N108" s="102"/>
      <c r="O108" s="102"/>
      <c r="P108" s="102"/>
      <c r="Q108" s="102"/>
      <c r="R108" s="102"/>
      <c r="S108" s="102"/>
    </row>
    <row r="109" spans="1:19" x14ac:dyDescent="0.25">
      <c r="G109" s="150" t="s">
        <v>258</v>
      </c>
      <c r="H109" s="225">
        <f t="shared" ref="H109:S109" si="22">H55/(H32+0.000001)</f>
        <v>0</v>
      </c>
      <c r="I109" s="225">
        <f t="shared" si="22"/>
        <v>0</v>
      </c>
      <c r="J109" s="225">
        <f t="shared" si="22"/>
        <v>0</v>
      </c>
      <c r="K109" s="225">
        <f t="shared" si="22"/>
        <v>0</v>
      </c>
      <c r="L109" s="225">
        <f t="shared" si="22"/>
        <v>0</v>
      </c>
      <c r="M109" s="225">
        <f t="shared" si="22"/>
        <v>0</v>
      </c>
      <c r="N109" s="225">
        <f t="shared" si="22"/>
        <v>0</v>
      </c>
      <c r="O109" s="225">
        <f t="shared" si="22"/>
        <v>0</v>
      </c>
      <c r="P109" s="225">
        <f t="shared" si="22"/>
        <v>0</v>
      </c>
      <c r="Q109" s="225">
        <f t="shared" si="22"/>
        <v>0</v>
      </c>
      <c r="R109" s="225">
        <f t="shared" si="22"/>
        <v>0</v>
      </c>
      <c r="S109" s="225">
        <f t="shared" si="22"/>
        <v>0</v>
      </c>
    </row>
    <row r="110" spans="1:19" x14ac:dyDescent="0.25">
      <c r="G110" s="150" t="s">
        <v>258</v>
      </c>
      <c r="H110" s="227">
        <f t="shared" ref="H110:S110" si="23">H56/(H31+0.000001)</f>
        <v>0</v>
      </c>
      <c r="I110" s="227">
        <f t="shared" si="23"/>
        <v>0</v>
      </c>
      <c r="J110" s="227">
        <f t="shared" si="23"/>
        <v>0</v>
      </c>
      <c r="K110" s="227">
        <f t="shared" si="23"/>
        <v>0</v>
      </c>
      <c r="L110" s="227">
        <f t="shared" si="23"/>
        <v>0</v>
      </c>
      <c r="M110" s="227">
        <f t="shared" si="23"/>
        <v>0</v>
      </c>
      <c r="N110" s="227">
        <f t="shared" si="23"/>
        <v>0</v>
      </c>
      <c r="O110" s="227">
        <f t="shared" si="23"/>
        <v>0</v>
      </c>
      <c r="P110" s="227">
        <f t="shared" si="23"/>
        <v>0</v>
      </c>
      <c r="Q110" s="227">
        <f t="shared" si="23"/>
        <v>0</v>
      </c>
      <c r="R110" s="227">
        <f t="shared" si="23"/>
        <v>0</v>
      </c>
      <c r="S110" s="227">
        <f t="shared" si="23"/>
        <v>0</v>
      </c>
    </row>
    <row r="111" spans="1:19" x14ac:dyDescent="0.25">
      <c r="G111" s="81" t="s">
        <v>257</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256</v>
      </c>
      <c r="H112" s="225">
        <f>IF(H111*MIN(ABS(H109),ABS(H110))&gt;1,0,H111*MIN(ABS(H109),ABS(H110)))</f>
        <v>0</v>
      </c>
      <c r="I112" s="225">
        <f t="shared" ref="I112:S112" si="25">IF(I111*MIN(ABS(I109),ABS(I110))&gt;1,0,I111*MIN(ABS(I109),ABS(I110)))</f>
        <v>0</v>
      </c>
      <c r="J112" s="225">
        <f t="shared" si="25"/>
        <v>0</v>
      </c>
      <c r="K112" s="225">
        <f t="shared" si="25"/>
        <v>0</v>
      </c>
      <c r="L112" s="225">
        <f t="shared" si="25"/>
        <v>0</v>
      </c>
      <c r="M112" s="225">
        <f t="shared" si="25"/>
        <v>0</v>
      </c>
      <c r="N112" s="225">
        <f t="shared" si="25"/>
        <v>0</v>
      </c>
      <c r="O112" s="225">
        <f t="shared" si="25"/>
        <v>0</v>
      </c>
      <c r="P112" s="225">
        <f t="shared" si="25"/>
        <v>0</v>
      </c>
      <c r="Q112" s="225">
        <f t="shared" si="25"/>
        <v>0</v>
      </c>
      <c r="R112" s="225">
        <f t="shared" si="25"/>
        <v>0</v>
      </c>
      <c r="S112" s="225">
        <f t="shared" si="25"/>
        <v>0</v>
      </c>
    </row>
    <row r="113" spans="7:19" x14ac:dyDescent="0.25">
      <c r="H113" s="102" t="s">
        <v>254</v>
      </c>
      <c r="I113" s="102"/>
      <c r="J113" s="102"/>
      <c r="K113" s="102"/>
      <c r="L113" s="102"/>
      <c r="M113" s="102"/>
      <c r="N113" s="102"/>
      <c r="O113" s="102"/>
      <c r="P113" s="102"/>
      <c r="Q113" s="102"/>
      <c r="R113" s="102"/>
      <c r="S113" s="102"/>
    </row>
    <row r="114" spans="7:19" x14ac:dyDescent="0.25">
      <c r="G114" s="115" t="s">
        <v>258</v>
      </c>
      <c r="H114" s="155">
        <f t="shared" ref="H114:S114" si="26">-H56/(H30+0.000001)</f>
        <v>0</v>
      </c>
      <c r="I114" s="155">
        <f t="shared" si="26"/>
        <v>0</v>
      </c>
      <c r="J114" s="155">
        <f t="shared" si="26"/>
        <v>0</v>
      </c>
      <c r="K114" s="155">
        <f t="shared" si="26"/>
        <v>0</v>
      </c>
      <c r="L114" s="155">
        <f t="shared" si="26"/>
        <v>0</v>
      </c>
      <c r="M114" s="155">
        <f t="shared" si="26"/>
        <v>0</v>
      </c>
      <c r="N114" s="155">
        <f t="shared" si="26"/>
        <v>0</v>
      </c>
      <c r="O114" s="155">
        <f t="shared" si="26"/>
        <v>0</v>
      </c>
      <c r="P114" s="155">
        <f t="shared" si="26"/>
        <v>0</v>
      </c>
      <c r="Q114" s="155">
        <f t="shared" si="26"/>
        <v>0</v>
      </c>
      <c r="R114" s="155">
        <f t="shared" si="26"/>
        <v>0</v>
      </c>
      <c r="S114" s="155">
        <f t="shared" si="26"/>
        <v>0</v>
      </c>
    </row>
    <row r="115" spans="7:19" x14ac:dyDescent="0.25">
      <c r="G115" s="115" t="s">
        <v>258</v>
      </c>
      <c r="H115" s="155">
        <f t="shared" ref="H115:S115" si="27">H54/(H32+0.000001)</f>
        <v>0</v>
      </c>
      <c r="I115" s="155">
        <f t="shared" si="27"/>
        <v>0</v>
      </c>
      <c r="J115" s="155">
        <f t="shared" si="27"/>
        <v>0</v>
      </c>
      <c r="K115" s="155">
        <f t="shared" si="27"/>
        <v>0</v>
      </c>
      <c r="L115" s="155">
        <f t="shared" si="27"/>
        <v>0</v>
      </c>
      <c r="M115" s="155">
        <f t="shared" si="27"/>
        <v>0</v>
      </c>
      <c r="N115" s="155">
        <f t="shared" si="27"/>
        <v>0</v>
      </c>
      <c r="O115" s="155">
        <f t="shared" si="27"/>
        <v>0</v>
      </c>
      <c r="P115" s="155">
        <f t="shared" si="27"/>
        <v>0</v>
      </c>
      <c r="Q115" s="155">
        <f t="shared" si="27"/>
        <v>0</v>
      </c>
      <c r="R115" s="155">
        <f t="shared" si="27"/>
        <v>0</v>
      </c>
      <c r="S115" s="155">
        <f t="shared" si="27"/>
        <v>0</v>
      </c>
    </row>
    <row r="116" spans="7:19" x14ac:dyDescent="0.25">
      <c r="G116" s="155" t="s">
        <v>257</v>
      </c>
      <c r="H116" s="228">
        <f>SIGN(H114+0.000000000001)*SIGN(H115+0.000000000001)</f>
        <v>1</v>
      </c>
      <c r="I116" s="228">
        <f t="shared" ref="I116:S116" si="28">SIGN(I114+0.000000000001)*SIGN(I115+0.000000000001)</f>
        <v>1</v>
      </c>
      <c r="J116" s="228">
        <f t="shared" si="28"/>
        <v>1</v>
      </c>
      <c r="K116" s="228">
        <f t="shared" si="28"/>
        <v>1</v>
      </c>
      <c r="L116" s="228">
        <f t="shared" si="28"/>
        <v>1</v>
      </c>
      <c r="M116" s="228">
        <f t="shared" si="28"/>
        <v>1</v>
      </c>
      <c r="N116" s="228">
        <f t="shared" si="28"/>
        <v>1</v>
      </c>
      <c r="O116" s="228">
        <f t="shared" si="28"/>
        <v>1</v>
      </c>
      <c r="P116" s="228">
        <f t="shared" si="28"/>
        <v>1</v>
      </c>
      <c r="Q116" s="228">
        <f t="shared" si="28"/>
        <v>1</v>
      </c>
      <c r="R116" s="228">
        <f t="shared" si="28"/>
        <v>1</v>
      </c>
      <c r="S116" s="228">
        <f t="shared" si="28"/>
        <v>1</v>
      </c>
    </row>
    <row r="117" spans="7:19" x14ac:dyDescent="0.25">
      <c r="G117" s="155" t="s">
        <v>256</v>
      </c>
      <c r="H117" s="229">
        <f>IF(H116*MIN(ABS(H114),ABS(H115))&gt;1,0,H116*MIN(ABS(H114),ABS(H115)))</f>
        <v>0</v>
      </c>
      <c r="I117" s="229">
        <f t="shared" ref="I117:S117" si="29">IF(I116*MIN(ABS(I114),ABS(I115))&gt;1,0,I116*MIN(ABS(I114),ABS(I115)))</f>
        <v>0</v>
      </c>
      <c r="J117" s="229">
        <f t="shared" si="29"/>
        <v>0</v>
      </c>
      <c r="K117" s="229">
        <f t="shared" si="29"/>
        <v>0</v>
      </c>
      <c r="L117" s="229">
        <f t="shared" si="29"/>
        <v>0</v>
      </c>
      <c r="M117" s="229">
        <f t="shared" si="29"/>
        <v>0</v>
      </c>
      <c r="N117" s="229">
        <f t="shared" si="29"/>
        <v>0</v>
      </c>
      <c r="O117" s="229">
        <f t="shared" si="29"/>
        <v>0</v>
      </c>
      <c r="P117" s="229">
        <f t="shared" si="29"/>
        <v>0</v>
      </c>
      <c r="Q117" s="229">
        <f t="shared" si="29"/>
        <v>0</v>
      </c>
      <c r="R117" s="229">
        <f t="shared" si="29"/>
        <v>0</v>
      </c>
      <c r="S117" s="229">
        <f t="shared" si="29"/>
        <v>0</v>
      </c>
    </row>
    <row r="118" spans="7:19" x14ac:dyDescent="0.25">
      <c r="H118" s="102" t="s">
        <v>255</v>
      </c>
      <c r="I118" s="102"/>
      <c r="J118" s="102"/>
      <c r="K118" s="102"/>
      <c r="L118" s="102"/>
      <c r="M118" s="102"/>
      <c r="N118" s="102"/>
      <c r="O118" s="102"/>
      <c r="P118" s="102"/>
      <c r="Q118" s="102"/>
      <c r="R118" s="102"/>
      <c r="S118" s="102"/>
    </row>
    <row r="119" spans="7:19" x14ac:dyDescent="0.25">
      <c r="G119" s="150" t="s">
        <v>258</v>
      </c>
      <c r="H119" s="225">
        <f t="shared" ref="H119:S119" si="30">H55/(H30+0.000001)</f>
        <v>0</v>
      </c>
      <c r="I119" s="225">
        <f t="shared" si="30"/>
        <v>0</v>
      </c>
      <c r="J119" s="225">
        <f t="shared" si="30"/>
        <v>0</v>
      </c>
      <c r="K119" s="225">
        <f t="shared" si="30"/>
        <v>0</v>
      </c>
      <c r="L119" s="225">
        <f t="shared" si="30"/>
        <v>0</v>
      </c>
      <c r="M119" s="225">
        <f t="shared" si="30"/>
        <v>0</v>
      </c>
      <c r="N119" s="225">
        <f t="shared" si="30"/>
        <v>0</v>
      </c>
      <c r="O119" s="225">
        <f t="shared" si="30"/>
        <v>0</v>
      </c>
      <c r="P119" s="225">
        <f t="shared" si="30"/>
        <v>0</v>
      </c>
      <c r="Q119" s="225">
        <f t="shared" si="30"/>
        <v>0</v>
      </c>
      <c r="R119" s="225">
        <f t="shared" si="30"/>
        <v>0</v>
      </c>
      <c r="S119" s="225">
        <f t="shared" si="30"/>
        <v>0</v>
      </c>
    </row>
    <row r="120" spans="7:19" x14ac:dyDescent="0.25">
      <c r="G120" s="150" t="s">
        <v>258</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257</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256</v>
      </c>
      <c r="H122" s="225">
        <f>IF(H121*MIN(ABS(H119),ABS(H120))&gt;1,0,H121*MIN(ABS(H119),ABS(H120)))</f>
        <v>0</v>
      </c>
      <c r="I122" s="225">
        <f t="shared" ref="I122:S122" si="33">IF(I121*MIN(ABS(I119),ABS(I120))&gt;1,0,I121*MIN(ABS(I119),ABS(I120)))</f>
        <v>0</v>
      </c>
      <c r="J122" s="225">
        <f t="shared" si="33"/>
        <v>0</v>
      </c>
      <c r="K122" s="225">
        <f t="shared" si="33"/>
        <v>0</v>
      </c>
      <c r="L122" s="225">
        <f t="shared" si="33"/>
        <v>0</v>
      </c>
      <c r="M122" s="225">
        <f t="shared" si="33"/>
        <v>0</v>
      </c>
      <c r="N122" s="225">
        <f t="shared" si="33"/>
        <v>0</v>
      </c>
      <c r="O122" s="225">
        <f t="shared" si="33"/>
        <v>0</v>
      </c>
      <c r="P122" s="225">
        <f t="shared" si="33"/>
        <v>0</v>
      </c>
      <c r="Q122" s="225">
        <f t="shared" si="33"/>
        <v>0</v>
      </c>
      <c r="R122" s="225">
        <f t="shared" si="33"/>
        <v>0</v>
      </c>
      <c r="S122" s="225">
        <f t="shared" si="33"/>
        <v>0</v>
      </c>
    </row>
    <row r="123" spans="7:19" x14ac:dyDescent="0.25">
      <c r="G123" s="150"/>
    </row>
    <row r="124" spans="7:19" x14ac:dyDescent="0.25">
      <c r="H124" s="144"/>
      <c r="I124" s="144"/>
      <c r="J124" s="144"/>
      <c r="K124" s="144"/>
      <c r="L124" s="144"/>
      <c r="M124" s="144"/>
      <c r="N124" s="144"/>
      <c r="O124" s="144"/>
      <c r="P124" s="144"/>
      <c r="Q124" s="144"/>
      <c r="R124" s="144"/>
      <c r="S124" s="144"/>
    </row>
    <row r="125" spans="7:19" x14ac:dyDescent="0.25">
      <c r="H125" s="225"/>
      <c r="I125" s="225"/>
      <c r="J125" s="225"/>
      <c r="K125" s="225"/>
      <c r="L125" s="225"/>
      <c r="M125" s="225"/>
      <c r="N125" s="225"/>
      <c r="O125" s="225"/>
      <c r="P125" s="225"/>
      <c r="Q125" s="225"/>
      <c r="R125" s="225"/>
      <c r="S125" s="225"/>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Summary</vt:lpstr>
      <vt:lpstr>CSs and Loads</vt:lpstr>
      <vt:lpstr>CS_1 X stage</vt:lpstr>
      <vt:lpstr>CS_2 Y column</vt:lpstr>
      <vt:lpstr>CS_3 Y stage</vt:lpstr>
      <vt:lpstr>CS_4 Vise</vt:lpstr>
      <vt:lpstr>CS_5 Workpiece</vt:lpstr>
      <vt:lpstr>CS_6</vt:lpstr>
      <vt:lpstr>CS_7</vt:lpstr>
      <vt:lpstr>CS_8</vt:lpstr>
      <vt:lpstr>CS_9</vt:lpstr>
      <vt:lpstr>CS_10</vt:lpstr>
      <vt:lpstr>ref bearings, servo, structure</vt:lpstr>
      <vt:lpstr>X section properties</vt:lpstr>
      <vt:lpstr>actuators</vt:lpstr>
      <vt:lpstr>axis 1 properties</vt:lpstr>
      <vt:lpstr>Right Hand CS</vt:lpstr>
      <vt:lpstr>HTM formulas</vt:lpstr>
      <vt:lpstr>Edit History</vt:lpstr>
      <vt:lpstr>'CS_4 Vise'!lgrs</vt:lpstr>
      <vt:lpstr>lgrs</vt:lpstr>
      <vt:lpstr>'CS_4 Vise'!lgst</vt:lpstr>
      <vt:lpstr>lgst</vt:lpstr>
      <vt:lpstr>'CS_4 Vise'!Naxes</vt:lpstr>
      <vt:lpstr>Naxes</vt:lpstr>
      <vt:lpstr>'CS_4 Vise'!R_Area</vt:lpstr>
      <vt:lpstr>R_Area</vt:lpstr>
      <vt:lpstr>R_I</vt:lpstr>
      <vt:lpstr>'CS_4 Vise'!R_Ip</vt:lpstr>
      <vt:lpstr>R_Ip</vt:lpstr>
      <vt:lpstr>'CS_4 Vise'!R_OD</vt:lpstr>
      <vt:lpstr>R_OD</vt:lpstr>
      <vt:lpstr>'CS_4 Vise'!R_wall</vt:lpstr>
      <vt:lpstr>R_wall</vt:lpstr>
      <vt:lpstr>'CS_4 Vise'!S_Area</vt:lpstr>
      <vt:lpstr>S_Area</vt:lpstr>
      <vt:lpstr>'CS_4 Vise'!S_I</vt:lpstr>
      <vt:lpstr>S_I</vt:lpstr>
      <vt:lpstr>'CS_4 Vise'!S_IP</vt:lpstr>
      <vt:lpstr>S_IP</vt:lpstr>
      <vt:lpstr>'CS_4 Vise'!S_OD</vt:lpstr>
      <vt:lpstr>S_OD</vt:lpstr>
      <vt:lpstr>'CS_4 Vise'!S_wall</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Windows User</cp:lastModifiedBy>
  <dcterms:created xsi:type="dcterms:W3CDTF">2015-07-18T14:59:20Z</dcterms:created>
  <dcterms:modified xsi:type="dcterms:W3CDTF">2016-04-15T05:09:37Z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