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28800" windowHeight="13590" activeTab="0"/>
  </bookViews>
  <sheets>
    <sheet name="Hcontact.xls" sheetId="1" r:id="rId1"/>
  </sheets>
  <definedNames>
    <definedName name="a">'Hcontact.xls'!$B$27</definedName>
    <definedName name="A0age">'Hcontact.xls'!$E$12</definedName>
    <definedName name="A0alt">'Hcontact.xls'!$E$5</definedName>
    <definedName name="A1age">'Hcontact.xls'!$E$13</definedName>
    <definedName name="A1alt">'Hcontact.xls'!$E$6</definedName>
    <definedName name="A2age">'Hcontact.xls'!$E$14</definedName>
    <definedName name="A2alt">'Hcontact.xls'!$E$7</definedName>
    <definedName name="A3age">'Hcontact.xls'!$E$15</definedName>
    <definedName name="A3alt">'Hcontact.xls'!$E$8</definedName>
    <definedName name="A4age">'Hcontact.xls'!$E$16</definedName>
    <definedName name="A4alt">'Hcontact.xls'!$E$9</definedName>
    <definedName name="A5age">'Hcontact.xls'!$E$17</definedName>
    <definedName name="A5alt">'Hcontact.xls'!$E$10</definedName>
    <definedName name="alpha">'Hcontact.xls'!$D$19</definedName>
    <definedName name="B0age">'Hcontact.xls'!$G$12</definedName>
    <definedName name="B0alt">'Hcontact.xls'!$G$5</definedName>
    <definedName name="B1age">'Hcontact.xls'!$G$13</definedName>
    <definedName name="B1alt">'Hcontact.xls'!$G$6</definedName>
    <definedName name="B2age">'Hcontact.xls'!$G$14</definedName>
    <definedName name="B2alt">'Hcontact.xls'!$G$7</definedName>
    <definedName name="B3age">'Hcontact.xls'!$G$15</definedName>
    <definedName name="B3alt">'Hcontact.xls'!$G$8</definedName>
    <definedName name="B4age">'Hcontact.xls'!$G$16</definedName>
    <definedName name="B4alt">'Hcontact.xls'!$G$9</definedName>
    <definedName name="B5age">'Hcontact.xls'!$G$17</definedName>
    <definedName name="B5alt">'Hcontact.xls'!$G$10</definedName>
    <definedName name="beta">'Hcontact.xls'!$D$20</definedName>
    <definedName name="cc">'Hcontact.xls'!$B$19</definedName>
    <definedName name="costheta">'Hcontact.xls'!$D$17</definedName>
    <definedName name="dd">'Hcontact.xls'!$B$20</definedName>
    <definedName name="DmDm">'Hcontact.xls'!#REF!</definedName>
    <definedName name="Ebar">'Hcontact.xls'!$B$14</definedName>
    <definedName name="Ee">'Hcontact.xls'!$B$17</definedName>
    <definedName name="Eone">'Hcontact.xls'!$B$13</definedName>
    <definedName name="Eroller">'Hcontact.xls'!$B$13</definedName>
    <definedName name="Etwo">'Hcontact.xls'!$B$14</definedName>
    <definedName name="F">'Hcontact.xls'!$B$10</definedName>
    <definedName name="Fpercent">'Hcontact.xls'!#REF!</definedName>
    <definedName name="L0age">'Hcontact.xls'!$I$12</definedName>
    <definedName name="L0alt">'Hcontact.xls'!$I$5</definedName>
    <definedName name="L1age">'Hcontact.xls'!$I$13</definedName>
    <definedName name="L1alt">'Hcontact.xls'!$I$6</definedName>
    <definedName name="L2age">'Hcontact.xls'!$I$14</definedName>
    <definedName name="L2alt">'Hcontact.xls'!$I$7</definedName>
    <definedName name="L3age">'Hcontact.xls'!$I$15</definedName>
    <definedName name="L3alt">'Hcontact.xls'!$I$8</definedName>
    <definedName name="L4age">'Hcontact.xls'!$I$16</definedName>
    <definedName name="L4alt">'Hcontact.xls'!$I$9</definedName>
    <definedName name="L5age">'Hcontact.xls'!$I$17</definedName>
    <definedName name="L5alt">'Hcontact.xls'!$I$10</definedName>
    <definedName name="lambda">'Hcontact.xls'!$D$21</definedName>
    <definedName name="mu">'Hcontact.xls'!#REF!</definedName>
    <definedName name="phi">'Hcontact.xls'!$B$12</definedName>
    <definedName name="Phi__degrees">'Hcontact.xls'!$B$12</definedName>
    <definedName name="Pmax">'Hcontact.xls'!$B$6</definedName>
    <definedName name="_xlnm.Print_Area" localSheetId="0">'Hcontact.xls'!$A$5:$D$32</definedName>
    <definedName name="q">'Hcontact.xls'!$B$21</definedName>
    <definedName name="re">'Hcontact.xls'!$B$18</definedName>
    <definedName name="Ronemaj">'Hcontact.xls'!$B$6</definedName>
    <definedName name="Ronemin">'Hcontact.xls'!$B$7</definedName>
    <definedName name="Rtwomaj">'Hcontact.xls'!$B$8</definedName>
    <definedName name="Rtwomin">'Hcontact.xls'!$B$9</definedName>
    <definedName name="sigult">'Hcontact.xls'!$B$11</definedName>
    <definedName name="theta_1">'Hcontact.xls'!$D$18</definedName>
    <definedName name="tm">'Hcontact.xls'!#REF!</definedName>
    <definedName name="vbar">'Hcontact.xls'!$B$16</definedName>
    <definedName name="vone">'Hcontact.xls'!$B$15</definedName>
    <definedName name="vroller">'Hcontact.xls'!$B$15</definedName>
    <definedName name="vtwo">'Hcontact.xls'!$B$16</definedName>
    <definedName name="Xpercent">'Hcontact.xls'!#REF!</definedName>
    <definedName name="zinc">'Hcontact.xls'!$B$39</definedName>
  </definedNames>
  <calcPr fullCalcOnLoad="1"/>
</workbook>
</file>

<file path=xl/sharedStrings.xml><?xml version="1.0" encoding="utf-8"?>
<sst xmlns="http://schemas.openxmlformats.org/spreadsheetml/2006/main" count="46" uniqueCount="46">
  <si>
    <t>Phi (degrees)</t>
  </si>
  <si>
    <t>Elastic modulus Eone</t>
  </si>
  <si>
    <t>Elastic modulus Etwo</t>
  </si>
  <si>
    <t>Poisson's ratio vone</t>
  </si>
  <si>
    <t>Poisson's ratio vtwo</t>
  </si>
  <si>
    <t>Equivelent modulus Ee</t>
  </si>
  <si>
    <t>Equivelent radius Re</t>
  </si>
  <si>
    <t>costheta</t>
  </si>
  <si>
    <t>theta</t>
  </si>
  <si>
    <t>alpha</t>
  </si>
  <si>
    <t>beta</t>
  </si>
  <si>
    <t>lambda</t>
  </si>
  <si>
    <t>Deflection at the one contact interface</t>
  </si>
  <si>
    <t xml:space="preserve">    Deflection (µunits)</t>
  </si>
  <si>
    <t>Stiffness (load/µunits)</t>
  </si>
  <si>
    <t>zinc</t>
  </si>
  <si>
    <t>depth</t>
  </si>
  <si>
    <t>Contact pressure, q</t>
  </si>
  <si>
    <t>for circular contact a = c, a</t>
  </si>
  <si>
    <t>z/a</t>
  </si>
  <si>
    <t>Depth at maximum shear stress/a</t>
  </si>
  <si>
    <t>Max shear stress/ultimate tensile</t>
  </si>
  <si>
    <t>To determine Hertz contact stress between bodies</t>
  </si>
  <si>
    <t>Be consistent with units!</t>
  </si>
  <si>
    <t>Hertz_Point_Contact.xls</t>
  </si>
  <si>
    <t>Ronemaj (mm)</t>
  </si>
  <si>
    <t>Ronemin (mm)</t>
  </si>
  <si>
    <t>Rtwomaj (mm)</t>
  </si>
  <si>
    <t>Rtwomin (mm)</t>
  </si>
  <si>
    <t>Applied load F (N)</t>
  </si>
  <si>
    <t>Ultimate tensile stress (N/mm^2)</t>
  </si>
  <si>
    <t>ellipse c (mm)</t>
  </si>
  <si>
    <t>ellipse d (mm)</t>
  </si>
  <si>
    <r>
      <t xml:space="preserve">Enters numbers in </t>
    </r>
    <r>
      <rPr>
        <b/>
        <sz val="8"/>
        <rFont val="Times New Roman"/>
        <family val="1"/>
      </rPr>
      <t>BOLD,</t>
    </r>
    <r>
      <rPr>
        <sz val="8"/>
        <rFont val="Times New Roman"/>
        <family val="1"/>
      </rPr>
      <t xml:space="preserve"> Results in </t>
    </r>
    <r>
      <rPr>
        <b/>
        <sz val="8"/>
        <color indexed="10"/>
        <rFont val="Times New Roman"/>
        <family val="1"/>
      </rPr>
      <t>RED</t>
    </r>
  </si>
  <si>
    <t>sz/sultimate</t>
  </si>
  <si>
    <t>sq/sultimate</t>
  </si>
  <si>
    <t>t/sultimate</t>
  </si>
  <si>
    <t>Maximum shear stress/(ultimate tensile/2)</t>
  </si>
  <si>
    <t>total load desired</t>
  </si>
  <si>
    <t>number of balls</t>
  </si>
  <si>
    <t>area factor</t>
  </si>
  <si>
    <t>diameter of circle to contain balls</t>
  </si>
  <si>
    <t>Stress ratio should be less than 1)</t>
  </si>
  <si>
    <t>By Alex Slocum, Last modified 2016.4.06 by Aaron Ramirez for 2.77</t>
  </si>
  <si>
    <t>um</t>
  </si>
  <si>
    <t>N/um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</si>
</sst>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"/>
    <numFmt numFmtId="166" formatCode="0.0"/>
    <numFmt numFmtId="167" formatCode="0.0000"/>
    <numFmt numFmtId="168" formatCode="0.00000"/>
    <numFmt numFmtId="169" formatCode="#,##0.0"/>
    <numFmt numFmtId="170" formatCode="#,##0.000"/>
    <numFmt numFmtId="171" formatCode="0.0000000"/>
    <numFmt numFmtId="172" formatCode="0.00000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4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color indexed="10"/>
      <name val="Times New Roman"/>
      <family val="1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8.2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left"/>
    </xf>
    <xf numFmtId="0" fontId="5" fillId="0" borderId="11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1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11" fontId="4" fillId="0" borderId="10" xfId="0" applyNumberFormat="1" applyFont="1" applyFill="1" applyBorder="1" applyAlignment="1">
      <alignment/>
    </xf>
    <xf numFmtId="11" fontId="6" fillId="0" borderId="10" xfId="0" applyNumberFormat="1" applyFont="1" applyFill="1" applyBorder="1" applyAlignment="1">
      <alignment/>
    </xf>
    <xf numFmtId="167" fontId="6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left" indent="1"/>
    </xf>
    <xf numFmtId="2" fontId="6" fillId="0" borderId="10" xfId="0" applyNumberFormat="1" applyFont="1" applyFill="1" applyBorder="1" applyAlignment="1">
      <alignment/>
    </xf>
    <xf numFmtId="166" fontId="6" fillId="0" borderId="10" xfId="0" applyNumberFormat="1" applyFont="1" applyFill="1" applyBorder="1" applyAlignment="1">
      <alignment/>
    </xf>
    <xf numFmtId="11" fontId="6" fillId="0" borderId="10" xfId="0" applyNumberFormat="1" applyFont="1" applyBorder="1" applyAlignment="1">
      <alignment/>
    </xf>
    <xf numFmtId="165" fontId="6" fillId="0" borderId="10" xfId="0" applyNumberFormat="1" applyFont="1" applyBorder="1" applyAlignment="1">
      <alignment/>
    </xf>
    <xf numFmtId="168" fontId="5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0" xfId="0" applyFont="1" applyAlignment="1">
      <alignment horizontal="center"/>
    </xf>
    <xf numFmtId="166" fontId="5" fillId="0" borderId="0" xfId="0" applyNumberFormat="1" applyFont="1" applyAlignment="1">
      <alignment/>
    </xf>
    <xf numFmtId="165" fontId="4" fillId="0" borderId="11" xfId="0" applyNumberFormat="1" applyFont="1" applyFill="1" applyBorder="1" applyAlignment="1">
      <alignment/>
    </xf>
    <xf numFmtId="165" fontId="4" fillId="0" borderId="10" xfId="0" applyNumberFormat="1" applyFont="1" applyFill="1" applyBorder="1" applyAlignment="1">
      <alignment/>
    </xf>
    <xf numFmtId="167" fontId="43" fillId="0" borderId="0" xfId="0" applyNumberFormat="1" applyFont="1" applyAlignment="1">
      <alignment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 wrapText="1"/>
    </xf>
  </cellXfs>
  <cellStyles count="4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Title" xfId="56"/>
    <cellStyle name="Total" xfId="57"/>
    <cellStyle name="Warning Text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</a:rPr>
              <a:t>State of Stress below circular Hertz contact</a:t>
            </a:r>
          </a:p>
        </c:rich>
      </c:tx>
      <c:layout>
        <c:manualLayout>
          <c:xMode val="factor"/>
          <c:yMode val="factor"/>
          <c:x val="0.0035"/>
          <c:y val="0.03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25"/>
          <c:y val="0.14725"/>
          <c:w val="0.9265"/>
          <c:h val="0.761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'Hcontact.xls'!$C$40</c:f>
              <c:strCache>
                <c:ptCount val="1"/>
                <c:pt idx="0">
                  <c:v>sz/sultimate</c:v>
                </c:pt>
              </c:strCache>
            </c:strRef>
          </c:tx>
          <c:spPr>
            <a:ln w="254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'Hcontact.xls'!$B$41:$B$91</c:f>
              <c:numCache/>
            </c:numRef>
          </c:xVal>
          <c:yVal>
            <c:numRef>
              <c:f>'Hcontact.xls'!$C$41:$C$91</c:f>
              <c:numCache/>
            </c:numRef>
          </c:yVal>
          <c:smooth val="1"/>
        </c:ser>
        <c:ser>
          <c:idx val="1"/>
          <c:order val="1"/>
          <c:tx>
            <c:strRef>
              <c:f>'Hcontact.xls'!$D$40</c:f>
              <c:strCache>
                <c:ptCount val="1"/>
                <c:pt idx="0">
                  <c:v>sq/sultimate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'Hcontact.xls'!$B$41:$B$91</c:f>
              <c:numCache/>
            </c:numRef>
          </c:xVal>
          <c:yVal>
            <c:numRef>
              <c:f>'Hcontact.xls'!$D$41:$D$91</c:f>
              <c:numCache/>
            </c:numRef>
          </c:yVal>
          <c:smooth val="1"/>
        </c:ser>
        <c:ser>
          <c:idx val="2"/>
          <c:order val="2"/>
          <c:tx>
            <c:strRef>
              <c:f>'Hcontact.xls'!$E$40</c:f>
              <c:strCache>
                <c:ptCount val="1"/>
                <c:pt idx="0">
                  <c:v>t/sultimate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'Hcontact.xls'!$B$41:$B$91</c:f>
              <c:numCache/>
            </c:numRef>
          </c:xVal>
          <c:yVal>
            <c:numRef>
              <c:f>'Hcontact.xls'!$E$41:$E$91</c:f>
              <c:numCache/>
            </c:numRef>
          </c:yVal>
          <c:smooth val="1"/>
        </c:ser>
        <c:axId val="46232743"/>
        <c:axId val="13441504"/>
      </c:scatterChart>
      <c:valAx>
        <c:axId val="46232743"/>
        <c:scaling>
          <c:orientation val="minMax"/>
          <c:max val="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Distance below surface/circular contact radius</a:t>
                </a:r>
              </a:p>
            </c:rich>
          </c:tx>
          <c:layout>
            <c:manualLayout>
              <c:xMode val="factor"/>
              <c:yMode val="factor"/>
              <c:x val="0.007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441504"/>
        <c:crosses val="autoZero"/>
        <c:crossBetween val="midCat"/>
        <c:dispUnits/>
      </c:valAx>
      <c:valAx>
        <c:axId val="13441504"/>
        <c:scaling>
          <c:orientation val="minMax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Stress/ultimate tensile stress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23274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w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1.emf" /><Relationship Id="rId3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0</xdr:row>
      <xdr:rowOff>0</xdr:rowOff>
    </xdr:from>
    <xdr:to>
      <xdr:col>14</xdr:col>
      <xdr:colOff>476250</xdr:colOff>
      <xdr:row>21</xdr:row>
      <xdr:rowOff>57150</xdr:rowOff>
    </xdr:to>
    <xdr:graphicFrame>
      <xdr:nvGraphicFramePr>
        <xdr:cNvPr id="1" name="Chart 3"/>
        <xdr:cNvGraphicFramePr/>
      </xdr:nvGraphicFramePr>
      <xdr:xfrm>
        <a:off x="7181850" y="0"/>
        <a:ext cx="9248775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1123950</xdr:colOff>
      <xdr:row>39</xdr:row>
      <xdr:rowOff>95250</xdr:rowOff>
    </xdr:from>
    <xdr:to>
      <xdr:col>11</xdr:col>
      <xdr:colOff>257175</xdr:colOff>
      <xdr:row>44</xdr:row>
      <xdr:rowOff>123825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34150" y="5734050"/>
          <a:ext cx="70675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8"/>
  <sheetViews>
    <sheetView tabSelected="1" zoomScale="200" zoomScaleNormal="200" zoomScalePageLayoutView="0" workbookViewId="0" topLeftCell="A1">
      <selection activeCell="B22" sqref="B22"/>
    </sheetView>
  </sheetViews>
  <sheetFormatPr defaultColWidth="11.375" defaultRowHeight="12.75"/>
  <cols>
    <col min="1" max="1" width="37.125" style="16" customWidth="1"/>
    <col min="2" max="2" width="13.00390625" style="1" customWidth="1"/>
    <col min="3" max="3" width="20.875" style="1" customWidth="1"/>
    <col min="4" max="4" width="22.625" style="1" customWidth="1"/>
    <col min="5" max="5" width="12.25390625" style="1" customWidth="1"/>
    <col min="6" max="6" width="12.375" style="1" customWidth="1"/>
    <col min="7" max="12" width="11.375" style="1" customWidth="1"/>
    <col min="13" max="13" width="10.75390625" style="1" customWidth="1"/>
    <col min="14" max="14" width="12.125" style="1" customWidth="1"/>
    <col min="15" max="18" width="10.75390625" style="1" customWidth="1"/>
    <col min="19" max="16384" width="11.375" style="1" customWidth="1"/>
  </cols>
  <sheetData>
    <row r="1" spans="1:2" ht="11.25">
      <c r="A1" s="26" t="s">
        <v>24</v>
      </c>
      <c r="B1" s="26"/>
    </row>
    <row r="2" spans="1:2" ht="11.25">
      <c r="A2" s="27" t="s">
        <v>22</v>
      </c>
      <c r="B2" s="27"/>
    </row>
    <row r="3" spans="1:2" ht="11.25">
      <c r="A3" s="25" t="s">
        <v>43</v>
      </c>
      <c r="B3" s="25"/>
    </row>
    <row r="4" spans="1:2" ht="11.25">
      <c r="A4" s="25" t="s">
        <v>33</v>
      </c>
      <c r="B4" s="25"/>
    </row>
    <row r="5" spans="1:2" ht="12" thickBot="1">
      <c r="A5" s="23" t="s">
        <v>23</v>
      </c>
      <c r="B5" s="24"/>
    </row>
    <row r="6" spans="1:2" ht="11.25">
      <c r="A6" s="3" t="s">
        <v>25</v>
      </c>
      <c r="B6" s="20">
        <v>6</v>
      </c>
    </row>
    <row r="7" spans="1:2" ht="11.25">
      <c r="A7" s="4" t="s">
        <v>26</v>
      </c>
      <c r="B7" s="21">
        <f>Pmax</f>
        <v>6</v>
      </c>
    </row>
    <row r="8" spans="1:2" ht="11.25">
      <c r="A8" s="4" t="s">
        <v>27</v>
      </c>
      <c r="B8" s="21">
        <v>6</v>
      </c>
    </row>
    <row r="9" spans="1:2" ht="11.25">
      <c r="A9" s="4" t="s">
        <v>28</v>
      </c>
      <c r="B9" s="21">
        <f>Rtwomaj</f>
        <v>6</v>
      </c>
    </row>
    <row r="10" spans="1:2" ht="11.25">
      <c r="A10" s="4" t="s">
        <v>29</v>
      </c>
      <c r="B10" s="21">
        <v>16.666666666666668</v>
      </c>
    </row>
    <row r="11" spans="1:2" ht="11.25">
      <c r="A11" s="4" t="s">
        <v>30</v>
      </c>
      <c r="B11" s="5">
        <v>1500</v>
      </c>
    </row>
    <row r="12" spans="1:2" ht="11.25">
      <c r="A12" s="4" t="s">
        <v>0</v>
      </c>
      <c r="B12" s="6">
        <v>0</v>
      </c>
    </row>
    <row r="13" spans="1:2" ht="11.25">
      <c r="A13" s="4" t="s">
        <v>1</v>
      </c>
      <c r="B13" s="7">
        <v>200000</v>
      </c>
    </row>
    <row r="14" spans="1:2" ht="11.25">
      <c r="A14" s="4" t="s">
        <v>2</v>
      </c>
      <c r="B14" s="7">
        <v>200000</v>
      </c>
    </row>
    <row r="15" spans="1:2" ht="11.25">
      <c r="A15" s="4" t="s">
        <v>3</v>
      </c>
      <c r="B15" s="6">
        <v>0.29</v>
      </c>
    </row>
    <row r="16" spans="1:2" ht="11.25">
      <c r="A16" s="4" t="s">
        <v>4</v>
      </c>
      <c r="B16" s="6">
        <v>0.29</v>
      </c>
    </row>
    <row r="17" spans="1:4" ht="11.25">
      <c r="A17" s="4" t="s">
        <v>5</v>
      </c>
      <c r="B17" s="8">
        <f>1/((1-vone^2)/Eone+(1-vtwo^2)/Etwo)</f>
        <v>109182.22513374823</v>
      </c>
      <c r="C17" s="4" t="s">
        <v>7</v>
      </c>
      <c r="D17" s="9">
        <f>re*SQRT((1/Ronemaj-1/Ronemin)^2+(1/Rtwomaj-1/Rtwomin)^2+2*(1/Ronemaj-1/Ronemin)*(1/Rtwomaj-1/Rtwomin)*COS(2*phi*PI()/180))</f>
        <v>0</v>
      </c>
    </row>
    <row r="18" spans="1:4" ht="11.25">
      <c r="A18" s="4" t="s">
        <v>6</v>
      </c>
      <c r="B18" s="9">
        <f>1/(1/Ronemaj+1/Ronemin+1/Rtwomaj+1/Rtwomin)</f>
        <v>1.5</v>
      </c>
      <c r="C18" s="4" t="s">
        <v>8</v>
      </c>
      <c r="D18" s="9">
        <f>ACOS(D17)</f>
        <v>1.5707963267948966</v>
      </c>
    </row>
    <row r="19" spans="1:4" ht="11.25">
      <c r="A19" s="4" t="s">
        <v>31</v>
      </c>
      <c r="B19" s="8">
        <f>alpha*(1.5*F*re/Ee)^0.333333</f>
        <v>0.07024275169580749</v>
      </c>
      <c r="C19" s="4" t="s">
        <v>9</v>
      </c>
      <c r="D19" s="9">
        <f>1.939*2.71831^(-5.26*theta_1)+1.78*2.71831^(-1.09*theta_1)+0.723/theta_1+0.221</f>
        <v>1.0030145953604</v>
      </c>
    </row>
    <row r="20" spans="1:4" ht="11.25">
      <c r="A20" s="4" t="s">
        <v>32</v>
      </c>
      <c r="B20" s="8">
        <f>beta*(1.5*F*re/Ee)^0.333333</f>
        <v>0.07013026811067029</v>
      </c>
      <c r="C20" s="4" t="s">
        <v>10</v>
      </c>
      <c r="D20" s="9">
        <f>35.228*2.71831^(-0.98*theta_1)-32.424*2.71831^(-1.0475*theta_1)+1.486*theta_1-2.634</f>
        <v>1.0014084128731353</v>
      </c>
    </row>
    <row r="21" spans="1:4" ht="11.25">
      <c r="A21" s="4" t="s">
        <v>17</v>
      </c>
      <c r="B21" s="8">
        <f>3*F/(2*PI()*cc*dd)</f>
        <v>1615.4113146205732</v>
      </c>
      <c r="C21" s="4" t="s">
        <v>11</v>
      </c>
      <c r="D21" s="9">
        <f>-0.214*2.71831^(-4.95*theta_1)-0.179*theta_1^2+0.555*theta_1+0.319</f>
        <v>0.7490373083770202</v>
      </c>
    </row>
    <row r="22" spans="1:2" ht="11.25">
      <c r="A22" s="4" t="s">
        <v>42</v>
      </c>
      <c r="B22" s="22">
        <f>2*MAX(E41:E91)</f>
        <v>0.7209197792336967</v>
      </c>
    </row>
    <row r="23" spans="1:2" ht="11.25">
      <c r="A23" s="10" t="s">
        <v>37</v>
      </c>
      <c r="B23" s="11">
        <f>(q/2)*((1-2*vone)/2+(2*(1+vone))^1.5/9)</f>
        <v>541.5301733673884</v>
      </c>
    </row>
    <row r="24" spans="1:2" ht="11.25">
      <c r="A24" s="4" t="s">
        <v>12</v>
      </c>
      <c r="B24" s="8"/>
    </row>
    <row r="25" spans="1:6" ht="11.25">
      <c r="A25" s="4" t="s">
        <v>13</v>
      </c>
      <c r="B25" s="12">
        <f>1000000*lambda*(2*F^2/(3*re*Ee^2))^0.33333</f>
        <v>1632.8029090084221</v>
      </c>
      <c r="C25" s="12">
        <f>B25/1000</f>
        <v>1.6328029090084222</v>
      </c>
      <c r="D25" s="12" t="s">
        <v>44</v>
      </c>
      <c r="E25" s="1" t="s">
        <v>38</v>
      </c>
      <c r="F25" s="1">
        <v>100</v>
      </c>
    </row>
    <row r="26" spans="1:6" ht="11.25">
      <c r="A26" s="4" t="s">
        <v>14</v>
      </c>
      <c r="B26" s="12">
        <f>B10/B25</f>
        <v>0.010207396480441167</v>
      </c>
      <c r="C26" s="12">
        <f>F/C25</f>
        <v>10.207396480441167</v>
      </c>
      <c r="D26" s="12" t="s">
        <v>45</v>
      </c>
      <c r="E26" s="1" t="s">
        <v>39</v>
      </c>
      <c r="F26" s="1">
        <f>F25/F</f>
        <v>6</v>
      </c>
    </row>
    <row r="27" spans="1:6" ht="11.25">
      <c r="A27" s="2" t="s">
        <v>18</v>
      </c>
      <c r="B27" s="13">
        <f>cc</f>
        <v>0.07024275169580749</v>
      </c>
      <c r="E27" s="1" t="s">
        <v>40</v>
      </c>
      <c r="F27" s="1">
        <v>1.5</v>
      </c>
    </row>
    <row r="28" spans="1:6" ht="11.25">
      <c r="A28" s="2" t="s">
        <v>20</v>
      </c>
      <c r="B28" s="14">
        <f>SQRT(2*(1+vone)/(7-2*vone))</f>
        <v>0.6339315096116493</v>
      </c>
      <c r="E28" s="1" t="s">
        <v>41</v>
      </c>
      <c r="F28" s="1">
        <f>SQRT(4*F26*(F27*Pmax)^2)</f>
        <v>44.090815370097204</v>
      </c>
    </row>
    <row r="29" spans="1:2" ht="11.25">
      <c r="A29" s="2" t="s">
        <v>21</v>
      </c>
      <c r="B29" s="14">
        <f>(q/2)*((1-2*vone)/2+2*(1+vone)*SQRT(2*(1+vone))/9)/sigult</f>
        <v>0.3610201155782588</v>
      </c>
    </row>
    <row r="31" ht="11.25">
      <c r="A31" s="1"/>
    </row>
    <row r="32" ht="11.25">
      <c r="A32" s="1"/>
    </row>
    <row r="33" ht="11.25">
      <c r="A33" s="1"/>
    </row>
    <row r="34" ht="11.25">
      <c r="A34" s="1"/>
    </row>
    <row r="35" ht="11.25">
      <c r="A35" s="1"/>
    </row>
    <row r="36" spans="1:3" ht="11.25">
      <c r="A36" s="1"/>
      <c r="C36" s="15"/>
    </row>
    <row r="39" spans="1:2" ht="11.25">
      <c r="A39" s="16" t="s">
        <v>15</v>
      </c>
      <c r="B39" s="1">
        <f>0.1*cc</f>
        <v>0.007024275169580749</v>
      </c>
    </row>
    <row r="40" spans="1:5" ht="11.25">
      <c r="A40" s="17" t="s">
        <v>16</v>
      </c>
      <c r="B40" s="18" t="s">
        <v>19</v>
      </c>
      <c r="C40" s="18" t="s">
        <v>34</v>
      </c>
      <c r="D40" s="18" t="s">
        <v>35</v>
      </c>
      <c r="E40" s="18" t="s">
        <v>36</v>
      </c>
    </row>
    <row r="41" spans="1:5" ht="11.25">
      <c r="A41" s="1">
        <v>0</v>
      </c>
      <c r="B41" s="19">
        <f aca="true" t="shared" si="0" ref="B41:B72">A41/a</f>
        <v>0</v>
      </c>
      <c r="C41" s="19">
        <f aca="true" t="shared" si="1" ref="C41:C72">q*(-1+(A41^3)/(a^2+A41^2)^1.5)/sigult</f>
        <v>-1.0769408764137154</v>
      </c>
      <c r="D41" s="19">
        <f aca="true" t="shared" si="2" ref="D41:D72">(q/2)*(-(1+2*vone)+2*(1+vone)*A41/SQRT(a^2+A41^2)-(A41^3)/(a^2+A41^2)^1.5)/sigult</f>
        <v>-0.8507832923668353</v>
      </c>
      <c r="E41" s="19">
        <f>(D41-C41)/2</f>
        <v>0.11307879202344007</v>
      </c>
    </row>
    <row r="42" spans="1:5" ht="11.25">
      <c r="A42" s="1">
        <f aca="true" t="shared" si="3" ref="A42:A73">A41+zinc</f>
        <v>0.007024275169580749</v>
      </c>
      <c r="B42" s="19">
        <f t="shared" si="0"/>
        <v>0.1</v>
      </c>
      <c r="C42" s="19">
        <f t="shared" si="1"/>
        <v>-1.0758798900536273</v>
      </c>
      <c r="D42" s="19">
        <f t="shared" si="2"/>
        <v>-0.7130778726910001</v>
      </c>
      <c r="E42" s="19">
        <f aca="true" t="shared" si="4" ref="E42:E85">(D42-C42)/2</f>
        <v>0.1814010086813136</v>
      </c>
    </row>
    <row r="43" spans="1:5" ht="11.25">
      <c r="A43" s="1">
        <f t="shared" si="3"/>
        <v>0.014048550339161497</v>
      </c>
      <c r="B43" s="19">
        <f t="shared" si="0"/>
        <v>0.2</v>
      </c>
      <c r="C43" s="19">
        <f t="shared" si="1"/>
        <v>-1.0688175886270006</v>
      </c>
      <c r="D43" s="19">
        <f t="shared" si="2"/>
        <v>-0.5823898638937761</v>
      </c>
      <c r="E43" s="19">
        <f t="shared" si="4"/>
        <v>0.24321386236661224</v>
      </c>
    </row>
    <row r="44" spans="1:5" ht="11.25">
      <c r="A44" s="1">
        <f t="shared" si="3"/>
        <v>0.021072825508742246</v>
      </c>
      <c r="B44" s="19">
        <f t="shared" si="0"/>
        <v>0.3</v>
      </c>
      <c r="C44" s="19">
        <f t="shared" si="1"/>
        <v>-1.0513894071159444</v>
      </c>
      <c r="D44" s="19">
        <f t="shared" si="2"/>
        <v>-0.46435990502021274</v>
      </c>
      <c r="E44" s="19">
        <f t="shared" si="4"/>
        <v>0.29351475104786584</v>
      </c>
    </row>
    <row r="45" spans="1:5" ht="11.25">
      <c r="A45" s="1">
        <f t="shared" si="3"/>
        <v>0.028097100678322995</v>
      </c>
      <c r="B45" s="19">
        <f t="shared" si="0"/>
        <v>0.4</v>
      </c>
      <c r="C45" s="19">
        <f t="shared" si="1"/>
        <v>-1.0217731797951402</v>
      </c>
      <c r="D45" s="19">
        <f t="shared" si="2"/>
        <v>-0.36241125805089724</v>
      </c>
      <c r="E45" s="19">
        <f t="shared" si="4"/>
        <v>0.32968096087212145</v>
      </c>
    </row>
    <row r="46" spans="1:5" ht="11.25">
      <c r="A46" s="1">
        <f t="shared" si="3"/>
        <v>0.035121375847903744</v>
      </c>
      <c r="B46" s="19">
        <f t="shared" si="0"/>
        <v>0.5</v>
      </c>
      <c r="C46" s="19">
        <f t="shared" si="1"/>
        <v>-0.9806163561173448</v>
      </c>
      <c r="D46" s="19">
        <f t="shared" si="2"/>
        <v>-0.27765239660342955</v>
      </c>
      <c r="E46" s="19">
        <f t="shared" si="4"/>
        <v>0.3514819797569576</v>
      </c>
    </row>
    <row r="47" spans="1:5" ht="11.25">
      <c r="A47" s="1">
        <f t="shared" si="3"/>
        <v>0.04214565101748449</v>
      </c>
      <c r="B47" s="19">
        <f t="shared" si="0"/>
        <v>0.6</v>
      </c>
      <c r="C47" s="19">
        <f t="shared" si="1"/>
        <v>-0.9302722414769121</v>
      </c>
      <c r="D47" s="19">
        <f t="shared" si="2"/>
        <v>-0.20935246224321544</v>
      </c>
      <c r="E47" s="19">
        <f t="shared" si="4"/>
        <v>0.36045988961684833</v>
      </c>
    </row>
    <row r="48" spans="1:5" ht="11.25">
      <c r="A48" s="1">
        <f t="shared" si="3"/>
        <v>0.04916992618706524</v>
      </c>
      <c r="B48" s="19">
        <f t="shared" si="0"/>
        <v>0.7</v>
      </c>
      <c r="C48" s="19">
        <f t="shared" si="1"/>
        <v>-0.8738424405297126</v>
      </c>
      <c r="D48" s="19">
        <f t="shared" si="2"/>
        <v>-0.15564780905854694</v>
      </c>
      <c r="E48" s="19">
        <f t="shared" si="4"/>
        <v>0.35909731573558284</v>
      </c>
    </row>
    <row r="49" spans="1:5" ht="11.25">
      <c r="A49" s="1">
        <f t="shared" si="3"/>
        <v>0.05619420135664599</v>
      </c>
      <c r="B49" s="19">
        <f t="shared" si="0"/>
        <v>0.8</v>
      </c>
      <c r="C49" s="19">
        <f t="shared" si="1"/>
        <v>-0.8144005322168104</v>
      </c>
      <c r="D49" s="19">
        <f t="shared" si="2"/>
        <v>-0.1141935391793934</v>
      </c>
      <c r="E49" s="19">
        <f t="shared" si="4"/>
        <v>0.35010349651870853</v>
      </c>
    </row>
    <row r="50" spans="1:5" ht="11.25">
      <c r="A50" s="1">
        <f t="shared" si="3"/>
        <v>0.06321847652622674</v>
      </c>
      <c r="B50" s="19">
        <f t="shared" si="0"/>
        <v>0.9</v>
      </c>
      <c r="C50" s="19">
        <f t="shared" si="1"/>
        <v>-0.7545360553450355</v>
      </c>
      <c r="D50" s="19">
        <f t="shared" si="2"/>
        <v>-0.08262395387245763</v>
      </c>
      <c r="E50" s="19">
        <f t="shared" si="4"/>
        <v>0.335956050736289</v>
      </c>
    </row>
    <row r="51" spans="1:5" ht="11.25">
      <c r="A51" s="1">
        <f t="shared" si="3"/>
        <v>0.07024275169580749</v>
      </c>
      <c r="B51" s="19">
        <f t="shared" si="0"/>
        <v>1</v>
      </c>
      <c r="C51" s="19">
        <f t="shared" si="1"/>
        <v>-0.6961847780891549</v>
      </c>
      <c r="D51" s="19">
        <f t="shared" si="2"/>
        <v>-0.058810607851748346</v>
      </c>
      <c r="E51" s="19">
        <f t="shared" si="4"/>
        <v>0.3186870851187033</v>
      </c>
    </row>
    <row r="52" spans="1:5" ht="11.25">
      <c r="A52" s="1">
        <f t="shared" si="3"/>
        <v>0.07726702686538824</v>
      </c>
      <c r="B52" s="19">
        <f t="shared" si="0"/>
        <v>1.1</v>
      </c>
      <c r="C52" s="19">
        <f t="shared" si="1"/>
        <v>-0.6406446001805234</v>
      </c>
      <c r="D52" s="19">
        <f t="shared" si="2"/>
        <v>-0.04096692311714437</v>
      </c>
      <c r="E52" s="19">
        <f t="shared" si="4"/>
        <v>0.2998388385316895</v>
      </c>
    </row>
    <row r="53" spans="1:5" ht="11.25">
      <c r="A53" s="1">
        <f t="shared" si="3"/>
        <v>0.08429130203496898</v>
      </c>
      <c r="B53" s="19">
        <f t="shared" si="0"/>
        <v>1.2</v>
      </c>
      <c r="C53" s="19">
        <f t="shared" si="1"/>
        <v>-0.5886811988292318</v>
      </c>
      <c r="D53" s="19">
        <f t="shared" si="2"/>
        <v>-0.027658852572326524</v>
      </c>
      <c r="E53" s="19">
        <f t="shared" si="4"/>
        <v>0.28051117312845264</v>
      </c>
    </row>
    <row r="54" spans="1:5" ht="11.25">
      <c r="A54" s="1">
        <f t="shared" si="3"/>
        <v>0.09131557720454973</v>
      </c>
      <c r="B54" s="19">
        <f t="shared" si="0"/>
        <v>1.3</v>
      </c>
      <c r="C54" s="19">
        <f t="shared" si="1"/>
        <v>-0.5406585332156092</v>
      </c>
      <c r="D54" s="19">
        <f t="shared" si="2"/>
        <v>-0.017768630160120556</v>
      </c>
      <c r="E54" s="19">
        <f t="shared" si="4"/>
        <v>0.26144495152774433</v>
      </c>
    </row>
    <row r="55" spans="1:5" ht="11.25">
      <c r="A55" s="1">
        <f t="shared" si="3"/>
        <v>0.09833985237413048</v>
      </c>
      <c r="B55" s="19">
        <f t="shared" si="0"/>
        <v>1.4</v>
      </c>
      <c r="C55" s="19">
        <f t="shared" si="1"/>
        <v>-0.49665980824102324</v>
      </c>
      <c r="D55" s="19">
        <f t="shared" si="2"/>
        <v>-0.010441565886543772</v>
      </c>
      <c r="E55" s="19">
        <f t="shared" si="4"/>
        <v>0.24310912117723973</v>
      </c>
    </row>
    <row r="56" spans="1:5" ht="11.25">
      <c r="A56" s="1">
        <f t="shared" si="3"/>
        <v>0.10536412754371123</v>
      </c>
      <c r="B56" s="19">
        <f t="shared" si="0"/>
        <v>1.5</v>
      </c>
      <c r="C56" s="19">
        <f t="shared" si="1"/>
        <v>-0.456585433425994</v>
      </c>
      <c r="D56" s="19">
        <f t="shared" si="2"/>
        <v>-0.0050320384269072135</v>
      </c>
      <c r="E56" s="19">
        <f t="shared" si="4"/>
        <v>0.2257766974995434</v>
      </c>
    </row>
    <row r="57" spans="1:5" ht="11.25">
      <c r="A57" s="1">
        <f t="shared" si="3"/>
        <v>0.11238840271329198</v>
      </c>
      <c r="B57" s="19">
        <f t="shared" si="0"/>
        <v>1.6</v>
      </c>
      <c r="C57" s="19">
        <f t="shared" si="1"/>
        <v>-0.4202260634968007</v>
      </c>
      <c r="D57" s="19">
        <f t="shared" si="2"/>
        <v>-0.0010558914660594627</v>
      </c>
      <c r="E57" s="19">
        <f t="shared" si="4"/>
        <v>0.20958508601537063</v>
      </c>
    </row>
    <row r="58" spans="1:5" ht="11.25">
      <c r="A58" s="1">
        <f t="shared" si="3"/>
        <v>0.11941267788287273</v>
      </c>
      <c r="B58" s="19">
        <f t="shared" si="0"/>
        <v>1.7</v>
      </c>
      <c r="C58" s="19">
        <f t="shared" si="1"/>
        <v>-0.3873139287402445</v>
      </c>
      <c r="D58" s="19">
        <f t="shared" si="2"/>
        <v>0.0018485577134686715</v>
      </c>
      <c r="E58" s="19">
        <f t="shared" si="4"/>
        <v>0.19458124322685658</v>
      </c>
    </row>
    <row r="59" spans="1:5" ht="11.25">
      <c r="A59" s="1">
        <f t="shared" si="3"/>
        <v>0.12643695305245348</v>
      </c>
      <c r="B59" s="19">
        <f t="shared" si="0"/>
        <v>1.8</v>
      </c>
      <c r="C59" s="19">
        <f t="shared" si="1"/>
        <v>-0.35755717878494064</v>
      </c>
      <c r="D59" s="19">
        <f t="shared" si="2"/>
        <v>0.00395111577876165</v>
      </c>
      <c r="E59" s="19">
        <f t="shared" si="4"/>
        <v>0.18075414728185116</v>
      </c>
    </row>
    <row r="60" spans="1:5" ht="11.25">
      <c r="A60" s="1">
        <f t="shared" si="3"/>
        <v>0.1334612282220342</v>
      </c>
      <c r="B60" s="19">
        <f t="shared" si="0"/>
        <v>1.9</v>
      </c>
      <c r="C60" s="19">
        <f t="shared" si="1"/>
        <v>-0.33066178150284026</v>
      </c>
      <c r="D60" s="19">
        <f t="shared" si="2"/>
        <v>0.005453101874536928</v>
      </c>
      <c r="E60" s="19">
        <f t="shared" si="4"/>
        <v>0.16805744168868858</v>
      </c>
    </row>
    <row r="61" spans="1:5" ht="11.25">
      <c r="A61" s="1">
        <f t="shared" si="3"/>
        <v>0.14048550339161497</v>
      </c>
      <c r="B61" s="19">
        <f t="shared" si="0"/>
        <v>2</v>
      </c>
      <c r="C61" s="19">
        <f t="shared" si="1"/>
        <v>-0.30634471404274954</v>
      </c>
      <c r="D61" s="19">
        <f t="shared" si="2"/>
        <v>0.006504938270863884</v>
      </c>
      <c r="E61" s="19">
        <f t="shared" si="4"/>
        <v>0.15642482615680672</v>
      </c>
    </row>
    <row r="62" spans="1:5" ht="11.25">
      <c r="A62" s="1">
        <f t="shared" si="3"/>
        <v>0.14750977856119574</v>
      </c>
      <c r="B62" s="19">
        <f t="shared" si="0"/>
        <v>2.1</v>
      </c>
      <c r="C62" s="19">
        <f t="shared" si="1"/>
        <v>-0.28434127807005755</v>
      </c>
      <c r="D62" s="19">
        <f t="shared" si="2"/>
        <v>0.007219252425181142</v>
      </c>
      <c r="E62" s="19">
        <f t="shared" si="4"/>
        <v>0.14578026524761933</v>
      </c>
    </row>
    <row r="63" spans="1:5" ht="11.25">
      <c r="A63" s="1">
        <f t="shared" si="3"/>
        <v>0.1545340537307765</v>
      </c>
      <c r="B63" s="19">
        <f t="shared" si="0"/>
        <v>2.2</v>
      </c>
      <c r="C63" s="19">
        <f t="shared" si="1"/>
        <v>-0.2644085783065536</v>
      </c>
      <c r="D63" s="19">
        <f t="shared" si="2"/>
        <v>0.007680583583739139</v>
      </c>
      <c r="E63" s="19">
        <f t="shared" si="4"/>
        <v>0.13604458094514638</v>
      </c>
    </row>
    <row r="64" spans="1:5" ht="11.25">
      <c r="A64" s="1">
        <f t="shared" si="3"/>
        <v>0.16155832890035726</v>
      </c>
      <c r="B64" s="19">
        <f t="shared" si="0"/>
        <v>2.3000000000000007</v>
      </c>
      <c r="C64" s="19">
        <f t="shared" si="1"/>
        <v>-0.24632658113489667</v>
      </c>
      <c r="D64" s="19">
        <f t="shared" si="2"/>
        <v>0.007952556840988627</v>
      </c>
      <c r="E64" s="19">
        <f t="shared" si="4"/>
        <v>0.12713956898794265</v>
      </c>
    </row>
    <row r="65" spans="1:5" ht="11.25">
      <c r="A65" s="1">
        <f t="shared" si="3"/>
        <v>0.16858260406993802</v>
      </c>
      <c r="B65" s="19">
        <f t="shared" si="0"/>
        <v>2.400000000000001</v>
      </c>
      <c r="C65" s="19">
        <f t="shared" si="1"/>
        <v>-0.22989771098681466</v>
      </c>
      <c r="D65" s="19">
        <f t="shared" si="2"/>
        <v>0.008083183910815568</v>
      </c>
      <c r="E65" s="19">
        <f t="shared" si="4"/>
        <v>0.11899044744881511</v>
      </c>
    </row>
    <row r="66" spans="1:5" ht="11.25">
      <c r="A66" s="1">
        <f t="shared" si="3"/>
        <v>0.1756068792395188</v>
      </c>
      <c r="B66" s="19">
        <f t="shared" si="0"/>
        <v>2.500000000000001</v>
      </c>
      <c r="C66" s="19">
        <f t="shared" si="1"/>
        <v>-0.21494561674847543</v>
      </c>
      <c r="D66" s="19">
        <f t="shared" si="2"/>
        <v>0.00810878436360897</v>
      </c>
      <c r="E66" s="19">
        <f t="shared" si="4"/>
        <v>0.1115272005560422</v>
      </c>
    </row>
    <row r="67" spans="1:5" ht="11.25">
      <c r="A67" s="1">
        <f t="shared" si="3"/>
        <v>0.18263115440909955</v>
      </c>
      <c r="B67" s="19">
        <f t="shared" si="0"/>
        <v>2.600000000000001</v>
      </c>
      <c r="C67" s="19">
        <f t="shared" si="1"/>
        <v>-0.2013135159041016</v>
      </c>
      <c r="D67" s="19">
        <f t="shared" si="2"/>
        <v>0.008056892710523128</v>
      </c>
      <c r="E67" s="19">
        <f t="shared" si="4"/>
        <v>0.10468520430731236</v>
      </c>
    </row>
    <row r="68" spans="1:5" ht="11.25">
      <c r="A68" s="1">
        <f t="shared" si="3"/>
        <v>0.1896554295786803</v>
      </c>
      <c r="B68" s="19">
        <f t="shared" si="0"/>
        <v>2.7000000000000015</v>
      </c>
      <c r="C68" s="19">
        <f t="shared" si="1"/>
        <v>-0.18886237248678733</v>
      </c>
      <c r="D68" s="19">
        <f t="shared" si="2"/>
        <v>0.007948419845963372</v>
      </c>
      <c r="E68" s="19">
        <f t="shared" si="4"/>
        <v>0.09840539616637535</v>
      </c>
    </row>
    <row r="69" spans="1:5" ht="11.25">
      <c r="A69" s="1">
        <f t="shared" si="3"/>
        <v>0.19667970474826107</v>
      </c>
      <c r="B69" s="19">
        <f t="shared" si="0"/>
        <v>2.8000000000000016</v>
      </c>
      <c r="C69" s="19">
        <f t="shared" si="1"/>
        <v>-0.1774690642545273</v>
      </c>
      <c r="D69" s="19">
        <f t="shared" si="2"/>
        <v>0.007799265474299721</v>
      </c>
      <c r="E69" s="19">
        <f t="shared" si="4"/>
        <v>0.0926341648644135</v>
      </c>
    </row>
    <row r="70" spans="1:5" ht="11.25">
      <c r="A70" s="1">
        <f t="shared" si="3"/>
        <v>0.20370397991784184</v>
      </c>
      <c r="B70" s="19">
        <f t="shared" si="0"/>
        <v>2.9000000000000017</v>
      </c>
      <c r="C70" s="19">
        <f t="shared" si="1"/>
        <v>-0.16702462880633615</v>
      </c>
      <c r="D70" s="19">
        <f t="shared" si="2"/>
        <v>0.007621525337348935</v>
      </c>
      <c r="E70" s="19">
        <f t="shared" si="4"/>
        <v>0.08732307707184254</v>
      </c>
    </row>
    <row r="71" spans="1:5" ht="11.25">
      <c r="A71" s="1">
        <f t="shared" si="3"/>
        <v>0.2107282550874226</v>
      </c>
      <c r="B71" s="19">
        <f t="shared" si="0"/>
        <v>3.0000000000000018</v>
      </c>
      <c r="C71" s="19">
        <f t="shared" si="1"/>
        <v>-0.15743263621629805</v>
      </c>
      <c r="D71" s="19">
        <f t="shared" si="2"/>
        <v>0.00742439848408716</v>
      </c>
      <c r="E71" s="19">
        <f t="shared" si="4"/>
        <v>0.0824285173501926</v>
      </c>
    </row>
    <row r="72" spans="1:5" ht="11.25">
      <c r="A72" s="1">
        <f t="shared" si="3"/>
        <v>0.21775253025700336</v>
      </c>
      <c r="B72" s="19">
        <f t="shared" si="0"/>
        <v>3.1000000000000023</v>
      </c>
      <c r="C72" s="19">
        <f t="shared" si="1"/>
        <v>-0.14860770930874528</v>
      </c>
      <c r="D72" s="19">
        <f t="shared" si="2"/>
        <v>0.007214871723658052</v>
      </c>
      <c r="E72" s="19">
        <f t="shared" si="4"/>
        <v>0.07791129051620167</v>
      </c>
    </row>
    <row r="73" spans="1:5" ht="11.25">
      <c r="A73" s="1">
        <f t="shared" si="3"/>
        <v>0.22477680542658413</v>
      </c>
      <c r="B73" s="19">
        <f aca="true" t="shared" si="5" ref="B73:B91">A73/a</f>
        <v>3.2000000000000024</v>
      </c>
      <c r="C73" s="19">
        <f aca="true" t="shared" si="6" ref="C73:C91">q*(-1+(A73^3)/(a^2+A73^2)^1.5)/sigult</f>
        <v>-0.1404741965543436</v>
      </c>
      <c r="D73" s="19">
        <f aca="true" t="shared" si="7" ref="D73:D91">(q/2)*(-(1+2*vone)+2*(1+vone)*A73/SQRT(a^2+A73^2)-(A73^3)/(a^2+A73^2)^1.5)/sigult</f>
        <v>0.006998237946540553</v>
      </c>
      <c r="E73" s="19">
        <f t="shared" si="4"/>
        <v>0.07373621725044208</v>
      </c>
    </row>
    <row r="74" spans="1:5" ht="11.25">
      <c r="A74" s="1">
        <f aca="true" t="shared" si="8" ref="A74:A91">A73+zinc</f>
        <v>0.2318010805961649</v>
      </c>
      <c r="B74" s="19">
        <f t="shared" si="5"/>
        <v>3.3000000000000025</v>
      </c>
      <c r="C74" s="19">
        <f t="shared" si="6"/>
        <v>-0.13296499311982976</v>
      </c>
      <c r="D74" s="19">
        <f t="shared" si="7"/>
        <v>0.0067784900954916145</v>
      </c>
      <c r="E74" s="19">
        <f t="shared" si="4"/>
        <v>0.06987174160766069</v>
      </c>
    </row>
    <row r="75" spans="1:5" ht="11.25">
      <c r="A75" s="1">
        <f t="shared" si="8"/>
        <v>0.23882535576574565</v>
      </c>
      <c r="B75" s="19">
        <f t="shared" si="5"/>
        <v>3.4000000000000026</v>
      </c>
      <c r="C75" s="19">
        <f t="shared" si="6"/>
        <v>-0.1260205004446754</v>
      </c>
      <c r="D75" s="19">
        <f t="shared" si="7"/>
        <v>0.0065586216902346105</v>
      </c>
      <c r="E75" s="19">
        <f t="shared" si="4"/>
        <v>0.066289561067455</v>
      </c>
    </row>
    <row r="76" spans="1:5" ht="11.25">
      <c r="A76" s="1">
        <f t="shared" si="8"/>
        <v>0.2458496309353264</v>
      </c>
      <c r="B76" s="19">
        <f t="shared" si="5"/>
        <v>3.500000000000003</v>
      </c>
      <c r="C76" s="19">
        <f t="shared" si="6"/>
        <v>-0.11958771225543037</v>
      </c>
      <c r="D76" s="19">
        <f t="shared" si="7"/>
        <v>0.006340856849980181</v>
      </c>
      <c r="E76" s="19">
        <f t="shared" si="4"/>
        <v>0.06296428455270528</v>
      </c>
    </row>
    <row r="77" spans="1:5" ht="11.25">
      <c r="A77" s="1">
        <f t="shared" si="8"/>
        <v>0.2528739061049072</v>
      </c>
      <c r="B77" s="19">
        <f t="shared" si="5"/>
        <v>3.600000000000003</v>
      </c>
      <c r="C77" s="19">
        <f t="shared" si="6"/>
        <v>-0.11361941412131889</v>
      </c>
      <c r="D77" s="19">
        <f t="shared" si="7"/>
        <v>0.006126826914928112</v>
      </c>
      <c r="E77" s="19">
        <f t="shared" si="4"/>
        <v>0.0598731205181235</v>
      </c>
    </row>
    <row r="78" spans="1:5" ht="11.25">
      <c r="A78" s="1">
        <f t="shared" si="8"/>
        <v>0.25989818127448794</v>
      </c>
      <c r="B78" s="19">
        <f t="shared" si="5"/>
        <v>3.7000000000000033</v>
      </c>
      <c r="C78" s="19">
        <f t="shared" si="6"/>
        <v>-0.10807348382767142</v>
      </c>
      <c r="D78" s="19">
        <f t="shared" si="7"/>
        <v>0.005917706463939854</v>
      </c>
      <c r="E78" s="19">
        <f t="shared" si="4"/>
        <v>0.056995595145805635</v>
      </c>
    </row>
    <row r="79" spans="1:5" ht="11.25">
      <c r="A79" s="1">
        <f t="shared" si="8"/>
        <v>0.2669224564440687</v>
      </c>
      <c r="B79" s="19">
        <f t="shared" si="5"/>
        <v>3.8000000000000034</v>
      </c>
      <c r="C79" s="19">
        <f t="shared" si="6"/>
        <v>-0.10291228056437544</v>
      </c>
      <c r="D79" s="19">
        <f t="shared" si="7"/>
        <v>0.00571431834345398</v>
      </c>
      <c r="E79" s="19">
        <f t="shared" si="4"/>
        <v>0.054313299453914714</v>
      </c>
    </row>
    <row r="80" spans="1:5" ht="11.25">
      <c r="A80" s="1">
        <f t="shared" si="8"/>
        <v>0.27394673161364946</v>
      </c>
      <c r="B80" s="19">
        <f t="shared" si="5"/>
        <v>3.900000000000004</v>
      </c>
      <c r="C80" s="19">
        <f t="shared" si="6"/>
        <v>-0.09810211192175901</v>
      </c>
      <c r="D80" s="19">
        <f t="shared" si="7"/>
        <v>0.005517214960812156</v>
      </c>
      <c r="E80" s="19">
        <f t="shared" si="4"/>
        <v>0.05180966344128558</v>
      </c>
    </row>
    <row r="81" spans="1:5" ht="11.25">
      <c r="A81" s="1">
        <f t="shared" si="8"/>
        <v>0.2809710067832302</v>
      </c>
      <c r="B81" s="19">
        <f t="shared" si="5"/>
        <v>4.0000000000000036</v>
      </c>
      <c r="C81" s="19">
        <f t="shared" si="6"/>
        <v>-0.09361276878763848</v>
      </c>
      <c r="D81" s="19">
        <f t="shared" si="7"/>
        <v>0.005326741335118149</v>
      </c>
      <c r="E81" s="19">
        <f t="shared" si="4"/>
        <v>0.049469755061378316</v>
      </c>
    </row>
    <row r="82" spans="1:5" ht="11.25">
      <c r="A82" s="1">
        <f t="shared" si="8"/>
        <v>0.287995281952811</v>
      </c>
      <c r="B82" s="19">
        <f t="shared" si="5"/>
        <v>4.100000000000004</v>
      </c>
      <c r="C82" s="19">
        <f t="shared" si="6"/>
        <v>-0.08941711934583399</v>
      </c>
      <c r="D82" s="19">
        <f t="shared" si="7"/>
        <v>0.00514308408190506</v>
      </c>
      <c r="E82" s="19">
        <f t="shared" si="4"/>
        <v>0.047280101713869524</v>
      </c>
    </row>
    <row r="83" spans="1:5" ht="11.25">
      <c r="A83" s="1">
        <f t="shared" si="8"/>
        <v>0.29501955712239175</v>
      </c>
      <c r="B83" s="19">
        <f t="shared" si="5"/>
        <v>4.200000000000005</v>
      </c>
      <c r="C83" s="19">
        <f t="shared" si="6"/>
        <v>-0.08549075443094722</v>
      </c>
      <c r="D83" s="19">
        <f t="shared" si="7"/>
        <v>0.00496630951869962</v>
      </c>
      <c r="E83" s="19">
        <f t="shared" si="4"/>
        <v>0.04522853197482342</v>
      </c>
    </row>
    <row r="84" spans="1:5" ht="11.25">
      <c r="A84" s="1">
        <f t="shared" si="8"/>
        <v>0.3020438322919725</v>
      </c>
      <c r="B84" s="19">
        <f t="shared" si="5"/>
        <v>4.300000000000004</v>
      </c>
      <c r="C84" s="19">
        <f t="shared" si="6"/>
        <v>-0.08181167746663384</v>
      </c>
      <c r="D84" s="19">
        <f t="shared" si="7"/>
        <v>0.0047963933325501674</v>
      </c>
      <c r="E84" s="19">
        <f t="shared" si="4"/>
        <v>0.043304035399592</v>
      </c>
    </row>
    <row r="85" spans="1:5" ht="11.25">
      <c r="A85" s="1">
        <f t="shared" si="8"/>
        <v>0.3090681074615533</v>
      </c>
      <c r="B85" s="19">
        <f t="shared" si="5"/>
        <v>4.400000000000005</v>
      </c>
      <c r="C85" s="19">
        <f t="shared" si="6"/>
        <v>-0.07836003309238262</v>
      </c>
      <c r="D85" s="19">
        <f t="shared" si="7"/>
        <v>0.004633243685762965</v>
      </c>
      <c r="E85" s="19">
        <f t="shared" si="4"/>
        <v>0.0414966383890728</v>
      </c>
    </row>
    <row r="86" spans="1:5" ht="11.25">
      <c r="A86" s="1">
        <f t="shared" si="8"/>
        <v>0.31609238263113404</v>
      </c>
      <c r="B86" s="19">
        <f t="shared" si="5"/>
        <v>4.500000000000005</v>
      </c>
      <c r="C86" s="19">
        <f t="shared" si="6"/>
        <v>-0.07511786936433881</v>
      </c>
      <c r="D86" s="19">
        <f t="shared" si="7"/>
        <v>0.004476719206798908</v>
      </c>
      <c r="E86" s="19">
        <f aca="true" t="shared" si="9" ref="E86:E91">(D86-C86)/2</f>
        <v>0.03979729428556886</v>
      </c>
    </row>
    <row r="87" spans="1:5" ht="11.25">
      <c r="A87" s="1">
        <f t="shared" si="8"/>
        <v>0.3231166578007148</v>
      </c>
      <c r="B87" s="19">
        <f t="shared" si="5"/>
        <v>4.600000000000005</v>
      </c>
      <c r="C87" s="19">
        <f t="shared" si="6"/>
        <v>-0.07206892910264273</v>
      </c>
      <c r="D87" s="19">
        <f t="shared" si="7"/>
        <v>0.00432664298581634</v>
      </c>
      <c r="E87" s="19">
        <f t="shared" si="9"/>
        <v>0.038197786044229534</v>
      </c>
    </row>
    <row r="88" spans="1:5" ht="11.25">
      <c r="A88" s="1">
        <f t="shared" si="8"/>
        <v>0.33014093297029556</v>
      </c>
      <c r="B88" s="19">
        <f t="shared" si="5"/>
        <v>4.7000000000000055</v>
      </c>
      <c r="C88" s="19">
        <f t="shared" si="6"/>
        <v>-0.06919846655771154</v>
      </c>
      <c r="D88" s="19">
        <f t="shared" si="7"/>
        <v>0.004182813443593188</v>
      </c>
      <c r="E88" s="19">
        <f t="shared" si="9"/>
        <v>0.036690640000652364</v>
      </c>
    </row>
    <row r="89" spans="1:5" ht="11.25">
      <c r="A89" s="1">
        <f t="shared" si="8"/>
        <v>0.3371652081398763</v>
      </c>
      <c r="B89" s="19">
        <f t="shared" si="5"/>
        <v>4.800000000000005</v>
      </c>
      <c r="C89" s="19">
        <f t="shared" si="6"/>
        <v>-0.06649308608913578</v>
      </c>
      <c r="D89" s="19">
        <f t="shared" si="7"/>
        <v>0.004045012749942518</v>
      </c>
      <c r="E89" s="19">
        <f t="shared" si="9"/>
        <v>0.03526904941953915</v>
      </c>
    </row>
    <row r="90" spans="1:5" ht="11.25">
      <c r="A90" s="1">
        <f t="shared" si="8"/>
        <v>0.3441894833094571</v>
      </c>
      <c r="B90" s="19">
        <f t="shared" si="5"/>
        <v>4.900000000000006</v>
      </c>
      <c r="C90" s="19">
        <f t="shared" si="6"/>
        <v>-0.06394060000194961</v>
      </c>
      <c r="D90" s="19">
        <f t="shared" si="7"/>
        <v>0.0039130133192081034</v>
      </c>
      <c r="E90" s="19">
        <f t="shared" si="9"/>
        <v>0.03392680666057885</v>
      </c>
    </row>
    <row r="91" spans="1:5" ht="11.25">
      <c r="A91" s="1">
        <f t="shared" si="8"/>
        <v>0.35121375847903785</v>
      </c>
      <c r="B91" s="19">
        <f t="shared" si="5"/>
        <v>5.000000000000006</v>
      </c>
      <c r="C91" s="19">
        <f t="shared" si="6"/>
        <v>-0.061529903074356324</v>
      </c>
      <c r="D91" s="19">
        <f t="shared" si="7"/>
        <v>0.0037865827955687894</v>
      </c>
      <c r="E91" s="19">
        <f t="shared" si="9"/>
        <v>0.032658242934962556</v>
      </c>
    </row>
    <row r="92" ht="11.25">
      <c r="A92" s="1"/>
    </row>
    <row r="93" ht="11.25">
      <c r="A93" s="1"/>
    </row>
    <row r="94" ht="11.25">
      <c r="A94" s="1"/>
    </row>
    <row r="95" ht="11.25">
      <c r="A95" s="1"/>
    </row>
    <row r="96" ht="11.25">
      <c r="A96" s="1"/>
    </row>
    <row r="97" ht="11.25">
      <c r="A97" s="1"/>
    </row>
    <row r="98" ht="11.25">
      <c r="A98" s="1"/>
    </row>
  </sheetData>
  <sheetProtection password="E53C"/>
  <mergeCells count="5">
    <mergeCell ref="A5:B5"/>
    <mergeCell ref="A4:B4"/>
    <mergeCell ref="A1:B1"/>
    <mergeCell ref="A2:B2"/>
    <mergeCell ref="A3:B3"/>
  </mergeCells>
  <printOptions gridLines="1" headings="1"/>
  <pageMargins left="0.75" right="0.75" top="1" bottom="1" header="0.5" footer="0.5"/>
  <pageSetup orientation="portrait"/>
  <headerFooter alignWithMargins="0">
    <oddHeader>&amp;C&amp;f</oddHeader>
    <oddFooter>&amp;CPage &amp;p</oddFooter>
  </headerFooter>
  <drawing r:id="rId5"/>
  <legacyDrawing r:id="rId4"/>
  <oleObjects>
    <oleObject progId="Equation.DSMT4" shapeId="14541922" r:id="rId1"/>
    <oleObject progId="Equation.DSMT4" shapeId="762990" r:id="rId2"/>
    <oleObject progId="Equation.DSMT4" shapeId="6020266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slocum</dc:creator>
  <cp:keywords/>
  <dc:description/>
  <cp:lastModifiedBy>Windows User</cp:lastModifiedBy>
  <cp:lastPrinted>1998-02-09T16:08:50Z</cp:lastPrinted>
  <dcterms:created xsi:type="dcterms:W3CDTF">2004-01-23T17:18:10Z</dcterms:created>
  <dcterms:modified xsi:type="dcterms:W3CDTF">2016-04-07T03:27:38Z</dcterms:modified>
  <cp:category/>
  <cp:version/>
  <cp:contentType/>
  <cp:contentStatus/>
</cp:coreProperties>
</file>